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tabRatio="791" activeTab="0"/>
  </bookViews>
  <sheets>
    <sheet name="Comprehensive Breakdown" sheetId="1" r:id="rId1"/>
    <sheet name="Breakdown by Zones (FY 2000)" sheetId="2" r:id="rId2"/>
    <sheet name="Breakdown by Zones (FY 2001)" sheetId="3" r:id="rId3"/>
    <sheet name="Full-time permanent staff costs" sheetId="4" r:id="rId4"/>
    <sheet name="Full-time permanent staff Nos" sheetId="5" r:id="rId5"/>
    <sheet name="OPM GS Grades and Steps" sheetId="6" r:id="rId6"/>
    <sheet name="Needs Assessment" sheetId="7" r:id="rId7"/>
    <sheet name="Grants Allocation" sheetId="8" r:id="rId8"/>
    <sheet name="Demographics" sheetId="9" r:id="rId9"/>
    <sheet name="Dem-All" sheetId="10" r:id="rId10"/>
    <sheet name="Sorted" sheetId="11" r:id="rId11"/>
  </sheets>
  <definedNames>
    <definedName name="_ftn1" localSheetId="1">'Breakdown by Zones (FY 2000)'!#REF!</definedName>
    <definedName name="_ftn1" localSheetId="2">'Breakdown by Zones (FY 2001)'!#REF!</definedName>
    <definedName name="_ftn1" localSheetId="0">'Comprehensive Breakdown'!#REF!</definedName>
    <definedName name="_ftn10" localSheetId="1">'Breakdown by Zones (FY 2000)'!$A$37</definedName>
    <definedName name="_ftn10" localSheetId="2">'Breakdown by Zones (FY 2001)'!$A$36</definedName>
    <definedName name="_ftn10" localSheetId="0">'Comprehensive Breakdown'!$A$37</definedName>
    <definedName name="_ftn11" localSheetId="1">'Breakdown by Zones (FY 2000)'!#REF!</definedName>
    <definedName name="_ftn11" localSheetId="2">'Breakdown by Zones (FY 2001)'!#REF!</definedName>
    <definedName name="_ftn11" localSheetId="0">'Comprehensive Breakdown'!#REF!</definedName>
    <definedName name="_ftn12" localSheetId="1">'Breakdown by Zones (FY 2000)'!$A$38</definedName>
    <definedName name="_ftn12" localSheetId="2">'Breakdown by Zones (FY 2001)'!$A$37</definedName>
    <definedName name="_ftn12" localSheetId="0">'Comprehensive Breakdown'!$A$38</definedName>
    <definedName name="_ftn2" localSheetId="1">'Breakdown by Zones (FY 2000)'!$A$28</definedName>
    <definedName name="_ftn2" localSheetId="2">'Breakdown by Zones (FY 2001)'!$A$27</definedName>
    <definedName name="_ftn2" localSheetId="0">'Comprehensive Breakdown'!$A$28</definedName>
    <definedName name="_ftn3" localSheetId="1">'Breakdown by Zones (FY 2000)'!#REF!</definedName>
    <definedName name="_ftn3" localSheetId="2">'Breakdown by Zones (FY 2001)'!#REF!</definedName>
    <definedName name="_ftn3" localSheetId="0">'Comprehensive Breakdown'!#REF!</definedName>
    <definedName name="_ftn4" localSheetId="1">'Breakdown by Zones (FY 2000)'!$A$29</definedName>
    <definedName name="_ftn4" localSheetId="2">'Breakdown by Zones (FY 2001)'!$A$28</definedName>
    <definedName name="_ftn4" localSheetId="0">'Comprehensive Breakdown'!$A$29</definedName>
    <definedName name="_ftn5" localSheetId="1">'Breakdown by Zones (FY 2000)'!$A$30</definedName>
    <definedName name="_ftn5" localSheetId="2">'Breakdown by Zones (FY 2001)'!$A$29</definedName>
    <definedName name="_ftn5" localSheetId="0">'Comprehensive Breakdown'!$A$30</definedName>
    <definedName name="_ftn6" localSheetId="1">'Breakdown by Zones (FY 2000)'!$A$31</definedName>
    <definedName name="_ftn6" localSheetId="2">'Breakdown by Zones (FY 2001)'!$A$30</definedName>
    <definedName name="_ftn6" localSheetId="0">'Comprehensive Breakdown'!$A$31</definedName>
    <definedName name="_ftn7" localSheetId="1">'Breakdown by Zones (FY 2000)'!$A$32</definedName>
    <definedName name="_ftn7" localSheetId="2">'Breakdown by Zones (FY 2001)'!$A$31</definedName>
    <definedName name="_ftn7" localSheetId="0">'Comprehensive Breakdown'!$A$32</definedName>
    <definedName name="_ftn8" localSheetId="1">'Breakdown by Zones (FY 2000)'!$A$33</definedName>
    <definedName name="_ftn8" localSheetId="2">'Breakdown by Zones (FY 2001)'!$A$32</definedName>
    <definedName name="_ftn8" localSheetId="0">'Comprehensive Breakdown'!$A$33</definedName>
    <definedName name="_ftn9" localSheetId="1">'Breakdown by Zones (FY 2000)'!$A$35</definedName>
    <definedName name="_ftn9" localSheetId="2">'Breakdown by Zones (FY 2001)'!$A$34</definedName>
    <definedName name="_ftn9" localSheetId="0">'Comprehensive Breakdown'!$A$35</definedName>
    <definedName name="_ftnref1" localSheetId="1">'Breakdown by Zones (FY 2000)'!#REF!</definedName>
    <definedName name="_ftnref1" localSheetId="2">'Breakdown by Zones (FY 2001)'!#REF!</definedName>
    <definedName name="_ftnref1" localSheetId="0">'Comprehensive Breakdown'!#REF!</definedName>
    <definedName name="_ftnref10" localSheetId="1">'Breakdown by Zones (FY 2000)'!$B$14</definedName>
    <definedName name="_ftnref10" localSheetId="2">'Breakdown by Zones (FY 2001)'!$B$14</definedName>
    <definedName name="_ftnref10" localSheetId="0">'Comprehensive Breakdown'!$B$14</definedName>
    <definedName name="_ftnref11" localSheetId="1">'Breakdown by Zones (FY 2000)'!$B$15</definedName>
    <definedName name="_ftnref11" localSheetId="2">'Breakdown by Zones (FY 2001)'!$B$15</definedName>
    <definedName name="_ftnref11" localSheetId="0">'Comprehensive Breakdown'!$B$15</definedName>
    <definedName name="_ftnref12" localSheetId="1">'Breakdown by Zones (FY 2000)'!$B$16</definedName>
    <definedName name="_ftnref12" localSheetId="2">'Breakdown by Zones (FY 2001)'!$B$16</definedName>
    <definedName name="_ftnref12" localSheetId="0">'Comprehensive Breakdown'!$B$16</definedName>
    <definedName name="_ftnref2" localSheetId="1">'Breakdown by Zones (FY 2000)'!#REF!</definedName>
    <definedName name="_ftnref2" localSheetId="2">'Breakdown by Zones (FY 2001)'!#REF!</definedName>
    <definedName name="_ftnref2" localSheetId="0">'Comprehensive Breakdown'!#REF!</definedName>
    <definedName name="_ftnref3" localSheetId="1">'Breakdown by Zones (FY 2000)'!$B$7</definedName>
    <definedName name="_ftnref3" localSheetId="2">'Breakdown by Zones (FY 2001)'!$B$7</definedName>
    <definedName name="_ftnref3" localSheetId="0">'Comprehensive Breakdown'!$B$7</definedName>
    <definedName name="_ftnref4" localSheetId="1">'Breakdown by Zones (FY 2000)'!$B$8</definedName>
    <definedName name="_ftnref4" localSheetId="2">'Breakdown by Zones (FY 2001)'!$B$8</definedName>
    <definedName name="_ftnref4" localSheetId="0">'Comprehensive Breakdown'!$B$8</definedName>
    <definedName name="_ftnref5" localSheetId="1">'Breakdown by Zones (FY 2000)'!$B$9</definedName>
    <definedName name="_ftnref5" localSheetId="2">'Breakdown by Zones (FY 2001)'!$B$9</definedName>
    <definedName name="_ftnref5" localSheetId="0">'Comprehensive Breakdown'!$B$9</definedName>
    <definedName name="_ftnref6" localSheetId="1">'Breakdown by Zones (FY 2000)'!$B$10</definedName>
    <definedName name="_ftnref6" localSheetId="2">'Breakdown by Zones (FY 2001)'!$B$10</definedName>
    <definedName name="_ftnref6" localSheetId="0">'Comprehensive Breakdown'!$B$10</definedName>
    <definedName name="_ftnref7" localSheetId="1">'Breakdown by Zones (FY 2000)'!$B$11</definedName>
    <definedName name="_ftnref7" localSheetId="2">'Breakdown by Zones (FY 2001)'!$B$11</definedName>
    <definedName name="_ftnref7" localSheetId="0">'Comprehensive Breakdown'!$B$11</definedName>
    <definedName name="_ftnref8" localSheetId="1">'Breakdown by Zones (FY 2000)'!$B$12</definedName>
    <definedName name="_ftnref8" localSheetId="2">'Breakdown by Zones (FY 2001)'!$B$12</definedName>
    <definedName name="_ftnref8" localSheetId="0">'Comprehensive Breakdown'!$B$12</definedName>
    <definedName name="_ftnref9" localSheetId="1">'Breakdown by Zones (FY 2000)'!$B$13</definedName>
    <definedName name="_ftnref9" localSheetId="2">'Breakdown by Zones (FY 2001)'!$B$13</definedName>
    <definedName name="_ftnref9" localSheetId="0">'Comprehensive Breakdown'!$B$13</definedName>
    <definedName name="_xlnm.Print_Titles" localSheetId="8">'Demographics'!$1:$1</definedName>
    <definedName name="_xlnm.Print_Titles" localSheetId="3">'Full-time permanent staff costs'!$A:$B,'Full-time permanent staff costs'!$1:$2</definedName>
    <definedName name="_xlnm.Print_Titles" localSheetId="7">'Grants Allocation'!$A:$B</definedName>
  </definedNames>
  <calcPr fullCalcOnLoad="1"/>
</workbook>
</file>

<file path=xl/comments1.xml><?xml version="1.0" encoding="utf-8"?>
<comments xmlns="http://schemas.openxmlformats.org/spreadsheetml/2006/main">
  <authors>
    <author>Bernard Wee</author>
  </authors>
  <commentList>
    <comment ref="C1" authorId="0">
      <text>
        <r>
          <rPr>
            <b/>
            <sz val="8"/>
            <rFont val="Tahoma"/>
            <family val="0"/>
          </rPr>
          <t>Bernard Wee:</t>
        </r>
        <r>
          <rPr>
            <sz val="8"/>
            <rFont val="Tahoma"/>
            <family val="0"/>
          </rPr>
          <t xml:space="preserve">
15.00 wide</t>
        </r>
      </text>
    </comment>
  </commentList>
</comments>
</file>

<file path=xl/sharedStrings.xml><?xml version="1.0" encoding="utf-8"?>
<sst xmlns="http://schemas.openxmlformats.org/spreadsheetml/2006/main" count="1584" uniqueCount="173">
  <si>
    <t>FY 2000</t>
  </si>
  <si>
    <t>FY 2001</t>
  </si>
  <si>
    <t>GS-1</t>
  </si>
  <si>
    <t>GS-2</t>
  </si>
  <si>
    <t>GS-3</t>
  </si>
  <si>
    <t>GS-4</t>
  </si>
  <si>
    <t>GS-5</t>
  </si>
  <si>
    <t>GS-6</t>
  </si>
  <si>
    <t>GS-7</t>
  </si>
  <si>
    <t>GS-8</t>
  </si>
  <si>
    <t>GS-9</t>
  </si>
  <si>
    <t>GS-10</t>
  </si>
  <si>
    <t>GS-11</t>
  </si>
  <si>
    <t>GS-12</t>
  </si>
  <si>
    <t>GS-13</t>
  </si>
  <si>
    <t>GS-14</t>
  </si>
  <si>
    <t>GS-15</t>
  </si>
  <si>
    <t>Alabama</t>
  </si>
  <si>
    <t>Alaska</t>
  </si>
  <si>
    <t>Arizona</t>
  </si>
  <si>
    <t>Arkansas</t>
  </si>
  <si>
    <t>California</t>
  </si>
  <si>
    <t>Colorado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</si>
  <si>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</si>
  <si>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</si>
  <si>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</si>
  <si>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</si>
  <si>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</si>
  <si>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</si>
  <si>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</si>
  <si>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</si>
  <si>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</si>
  <si>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</si>
  <si>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</si>
  <si>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</si>
  <si>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</si>
  <si>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</si>
  <si>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</si>
  <si>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</si>
  <si>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</si>
  <si>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</si>
  <si>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</si>
  <si>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</si>
  <si>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</si>
  <si>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</si>
  <si>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</si>
  <si>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</si>
  <si>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</si>
  <si>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</si>
  <si>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</si>
  <si>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</si>
  <si>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</si>
  <si>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</si>
  <si>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</si>
  <si>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</si>
  <si>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</si>
  <si>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</si>
  <si>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</si>
  <si>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</si>
  <si>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</si>
  <si>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</si>
  <si>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</si>
  <si>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</si>
  <si>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</si>
  <si>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</si>
  <si>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</si>
  <si>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</t>
  </si>
  <si>
    <t>W</t>
  </si>
  <si>
    <t>SW</t>
  </si>
  <si>
    <t>NE</t>
  </si>
  <si>
    <t>MA</t>
  </si>
  <si>
    <t>MW</t>
  </si>
  <si>
    <t>Connecticut</t>
  </si>
  <si>
    <t xml:space="preserve">     Subtotal</t>
  </si>
  <si>
    <t>Program</t>
  </si>
  <si>
    <t>Full-time Permanent</t>
  </si>
  <si>
    <t>New York</t>
  </si>
  <si>
    <t>2000 est</t>
  </si>
  <si>
    <t>2001 est</t>
  </si>
  <si>
    <t>ADMINISTRATION</t>
  </si>
  <si>
    <t>Full-time permanent</t>
  </si>
  <si>
    <t>subtotal, Administration</t>
  </si>
  <si>
    <t xml:space="preserve">Civilian personnel benefits </t>
  </si>
  <si>
    <t xml:space="preserve">Travel and transportation of persons </t>
  </si>
  <si>
    <t xml:space="preserve">Transportation of things </t>
  </si>
  <si>
    <t xml:space="preserve">Rental payments to others </t>
  </si>
  <si>
    <t xml:space="preserve">Communications, utilities, and miscellaneous charges </t>
  </si>
  <si>
    <t xml:space="preserve">Printing and reproduction </t>
  </si>
  <si>
    <t xml:space="preserve">Advisory and assistance services </t>
  </si>
  <si>
    <t xml:space="preserve">Other services </t>
  </si>
  <si>
    <t xml:space="preserve">Supplies and materials </t>
  </si>
  <si>
    <t xml:space="preserve">Equipment </t>
  </si>
  <si>
    <t>Population</t>
  </si>
  <si>
    <t>Population Density</t>
  </si>
  <si>
    <t>Subtotal</t>
  </si>
  <si>
    <r>
      <t>Rural Population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1990, thousands</t>
    </r>
    <r>
      <rPr>
        <sz val="10"/>
        <rFont val="Arial"/>
        <family val="2"/>
      </rPr>
      <t>)</t>
    </r>
  </si>
  <si>
    <r>
      <t>Native American Pop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2000 Projected, thousands</t>
    </r>
    <r>
      <rPr>
        <sz val="10"/>
        <rFont val="Arial"/>
        <family val="2"/>
      </rPr>
      <t>)</t>
    </r>
  </si>
  <si>
    <r>
      <t>Urban Population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1990, thousands</t>
    </r>
    <r>
      <rPr>
        <sz val="10"/>
        <rFont val="Arial"/>
        <family val="2"/>
      </rPr>
      <t>)</t>
    </r>
  </si>
  <si>
    <r>
      <t>Population Density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1998</t>
    </r>
    <r>
      <rPr>
        <sz val="10"/>
        <rFont val="Arial"/>
        <family val="2"/>
      </rPr>
      <t>)</t>
    </r>
  </si>
  <si>
    <r>
      <t>Population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1998, thousands</t>
    </r>
    <r>
      <rPr>
        <sz val="10"/>
        <rFont val="Arial"/>
        <family val="2"/>
      </rPr>
      <t>)</t>
    </r>
  </si>
  <si>
    <t>Proportion</t>
  </si>
  <si>
    <t>Mean</t>
  </si>
  <si>
    <t>b.  Section 133(b)2. staff at 100%</t>
  </si>
  <si>
    <t>a.  Section 133(b) staff at 12.94%</t>
  </si>
  <si>
    <t xml:space="preserve">     GS-1</t>
  </si>
  <si>
    <t xml:space="preserve">     GS-2</t>
  </si>
  <si>
    <t xml:space="preserve">     GS-3</t>
  </si>
  <si>
    <t xml:space="preserve">     GS-4</t>
  </si>
  <si>
    <t xml:space="preserve">     GS-5</t>
  </si>
  <si>
    <t xml:space="preserve">     GS-6</t>
  </si>
  <si>
    <t xml:space="preserve">     GS-7</t>
  </si>
  <si>
    <t xml:space="preserve">     GS-8</t>
  </si>
  <si>
    <t xml:space="preserve">     GS-9</t>
  </si>
  <si>
    <t xml:space="preserve">     GS-10</t>
  </si>
  <si>
    <t xml:space="preserve">     GS-11</t>
  </si>
  <si>
    <t xml:space="preserve">     GS-12</t>
  </si>
  <si>
    <t xml:space="preserve">     GS-13</t>
  </si>
  <si>
    <t xml:space="preserve">     GS-14</t>
  </si>
  <si>
    <t xml:space="preserve">     GS-15</t>
  </si>
  <si>
    <t>Our %age
(FY 2000)</t>
  </si>
  <si>
    <t>DOC %age 
(FY 2000)</t>
  </si>
  <si>
    <t>Deviation</t>
  </si>
  <si>
    <t>Actual dollar amounts</t>
  </si>
  <si>
    <t xml:space="preserve">     Other than full-time permanent</t>
  </si>
  <si>
    <t>Travel and transportation of persons</t>
  </si>
  <si>
    <t>Transportation of things</t>
  </si>
  <si>
    <t>Rental payments to others</t>
  </si>
  <si>
    <t>Communications, utilities, and miscellaneous charges</t>
  </si>
  <si>
    <t>Printing and reproduction</t>
  </si>
  <si>
    <t>Other services</t>
  </si>
  <si>
    <t>subtotal, Outreach</t>
  </si>
  <si>
    <t>OUTREACH</t>
  </si>
  <si>
    <t xml:space="preserve">     Number</t>
  </si>
  <si>
    <t xml:space="preserve">     sub-Allocation</t>
  </si>
  <si>
    <t>TOTAL ALLOCATION</t>
  </si>
  <si>
    <t>Budget Component</t>
  </si>
  <si>
    <t>NEEDS ASSESSMENT</t>
  </si>
  <si>
    <t>subtotal, Needs Assessment</t>
  </si>
  <si>
    <t>GRANTS</t>
  </si>
  <si>
    <t>Grants, subsidies and contributions</t>
  </si>
  <si>
    <t>subtotal, Grants</t>
  </si>
  <si>
    <t>b.  Sec 133(b)2. at 100%</t>
  </si>
  <si>
    <t>a.  Sec 133(b) at 12.94%</t>
  </si>
  <si>
    <t>Target Population</t>
  </si>
  <si>
    <t>Below Poverty Level</t>
  </si>
  <si>
    <t>Telephone Access</t>
  </si>
  <si>
    <t>In lieu of the needs assessment, we allocate equal funding per state</t>
  </si>
  <si>
    <t>GRAND TOTAL</t>
  </si>
  <si>
    <t>BALANCE</t>
  </si>
  <si>
    <t>REVENUE</t>
  </si>
  <si>
    <t xml:space="preserve">  Full-time permanent</t>
  </si>
  <si>
    <t xml:space="preserve">  Other than full-time permanent</t>
  </si>
  <si>
    <t xml:space="preserve">  Other personnel compensation </t>
  </si>
  <si>
    <t xml:space="preserve">     Total personnel compensation </t>
  </si>
  <si>
    <t xml:space="preserve">  Percentage of Total</t>
  </si>
  <si>
    <t xml:space="preserve">  Number of states</t>
  </si>
  <si>
    <t xml:space="preserve">  sub-Allocation</t>
  </si>
  <si>
    <t xml:space="preserve">  Number</t>
  </si>
  <si>
    <t xml:space="preserve">  Percentage Deviation</t>
  </si>
  <si>
    <t>subtotal</t>
  </si>
  <si>
    <t>TOTAL PER ZONE</t>
  </si>
  <si>
    <t xml:space="preserve">Communications, utilities, and misc charges </t>
  </si>
  <si>
    <t>Communications, utilities, and misc charges</t>
  </si>
  <si>
    <t xml:space="preserve">     Percentage</t>
  </si>
  <si>
    <t xml:space="preserve">  Percentage</t>
  </si>
  <si>
    <r>
      <t>Population (</t>
    </r>
    <r>
      <rPr>
        <b/>
        <i/>
        <sz val="8"/>
        <rFont val="Courier New"/>
        <family val="3"/>
      </rPr>
      <t>1998, thousands</t>
    </r>
    <r>
      <rPr>
        <b/>
        <sz val="8"/>
        <rFont val="Courier New"/>
        <family val="3"/>
      </rPr>
      <t>)</t>
    </r>
  </si>
  <si>
    <r>
      <t>Population Density (</t>
    </r>
    <r>
      <rPr>
        <b/>
        <i/>
        <sz val="8"/>
        <rFont val="Courier New"/>
        <family val="3"/>
      </rPr>
      <t>1998, per square mile</t>
    </r>
    <r>
      <rPr>
        <b/>
        <sz val="8"/>
        <rFont val="Courier New"/>
        <family val="3"/>
      </rPr>
      <t>)</t>
    </r>
  </si>
  <si>
    <r>
      <t>Urban Population (</t>
    </r>
    <r>
      <rPr>
        <b/>
        <i/>
        <sz val="8"/>
        <rFont val="Courier New"/>
        <family val="3"/>
      </rPr>
      <t>1990, thousands</t>
    </r>
    <r>
      <rPr>
        <b/>
        <sz val="8"/>
        <rFont val="Courier New"/>
        <family val="3"/>
      </rPr>
      <t>)</t>
    </r>
  </si>
  <si>
    <r>
      <t>Rural Population (</t>
    </r>
    <r>
      <rPr>
        <b/>
        <i/>
        <sz val="8"/>
        <rFont val="Courier New"/>
        <family val="3"/>
      </rPr>
      <t>1990, thousands</t>
    </r>
    <r>
      <rPr>
        <b/>
        <sz val="8"/>
        <rFont val="Courier New"/>
        <family val="3"/>
      </rPr>
      <t>)</t>
    </r>
  </si>
  <si>
    <r>
      <t>Native American Pop (</t>
    </r>
    <r>
      <rPr>
        <b/>
        <i/>
        <sz val="8"/>
        <rFont val="Courier New"/>
        <family val="3"/>
      </rPr>
      <t>2000 Projected, thousands</t>
    </r>
    <r>
      <rPr>
        <b/>
        <sz val="8"/>
        <rFont val="Courier New"/>
        <family val="3"/>
      </rPr>
      <t>)</t>
    </r>
  </si>
  <si>
    <r>
      <t>Population below poverty level (</t>
    </r>
    <r>
      <rPr>
        <b/>
        <i/>
        <sz val="8"/>
        <rFont val="Courier New"/>
        <family val="3"/>
      </rPr>
      <t>1997, thousands</t>
    </r>
    <r>
      <rPr>
        <b/>
        <sz val="8"/>
        <rFont val="Courier New"/>
        <family val="3"/>
      </rPr>
      <t>)</t>
    </r>
  </si>
  <si>
    <t>FY2000 %age</t>
  </si>
  <si>
    <t>Relative to DOC proportions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</si>
</sst>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_-;\-* #,##0_-;_-* &quot;-&quot;??_-;_-@_-"/>
    <numFmt numFmtId="176" formatCode="_(* #,##0.0000_);_(* \(#,##0.0000\);_(* &quot;-&quot;????_);_(@_)"/>
    <numFmt numFmtId="177" formatCode="_(&quot;$&quot;* #,##0.0000_);_(&quot;$&quot;* \(#,##0.0000\);_(&quot;$&quot;* &quot;-&quot;????_);_(@_)"/>
    <numFmt numFmtId="178" formatCode="0.0"/>
    <numFmt numFmtId="179" formatCode="_-* #,##0.0000_-;\-* #,##0.0000_-;_-* &quot;-&quot;????_-;_-@_-"/>
    <numFmt numFmtId="180" formatCode="_-* #,##0.000_-;\-* #,##0.000_-;_-* &quot;-&quot;???_-;_-@_-"/>
    <numFmt numFmtId="181" formatCode="0.0000%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i/>
      <sz val="8"/>
      <name val="Courier New"/>
      <family val="3"/>
    </font>
    <font>
      <sz val="8"/>
      <color indexed="9"/>
      <name val="Courier New"/>
      <family val="3"/>
    </font>
    <font>
      <b/>
      <i/>
      <sz val="8"/>
      <name val="Courier New"/>
      <family val="3"/>
    </font>
    <font>
      <sz val="6"/>
      <name val="Courier New"/>
      <family val="3"/>
    </font>
    <font>
      <i/>
      <sz val="6"/>
      <name val="Courier New"/>
      <family val="3"/>
    </font>
    <font>
      <sz val="6"/>
      <color indexed="9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Courier New"/>
      <family val="3"/>
    </font>
    <font>
      <b/>
      <i/>
      <sz val="8"/>
      <color indexed="9"/>
      <name val="Courier New"/>
      <family val="3"/>
    </font>
    <font>
      <b/>
      <sz val="6"/>
      <name val="Courier New"/>
      <family val="3"/>
    </font>
    <font>
      <b/>
      <sz val="8"/>
      <color indexed="9"/>
      <name val="Courier New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75" fontId="0" fillId="0" borderId="0" xfId="15" applyNumberFormat="1" applyAlignment="1">
      <alignment/>
    </xf>
    <xf numFmtId="175" fontId="0" fillId="0" borderId="0" xfId="15" applyNumberFormat="1" applyBorder="1" applyAlignment="1">
      <alignment/>
    </xf>
    <xf numFmtId="175" fontId="4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75" fontId="0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2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169" fontId="8" fillId="0" borderId="0" xfId="0" applyNumberFormat="1" applyFont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0" fontId="12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left" vertical="center"/>
    </xf>
    <xf numFmtId="10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68" fontId="6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169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2" fontId="6" fillId="2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9" fontId="6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2" fontId="6" fillId="0" borderId="0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175" fontId="5" fillId="0" borderId="0" xfId="15" applyNumberFormat="1" applyFont="1" applyAlignment="1">
      <alignment vertical="center"/>
    </xf>
    <xf numFmtId="175" fontId="5" fillId="0" borderId="0" xfId="15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168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8" fontId="6" fillId="0" borderId="0" xfId="0" applyNumberFormat="1" applyFont="1" applyAlignment="1">
      <alignment horizontal="justify" vertical="center" wrapText="1"/>
    </xf>
    <xf numFmtId="178" fontId="6" fillId="2" borderId="0" xfId="0" applyNumberFormat="1" applyFont="1" applyFill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41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10" fontId="1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1" fontId="16" fillId="0" borderId="0" xfId="0" applyNumberFormat="1" applyFont="1" applyBorder="1" applyAlignment="1">
      <alignment horizontal="right" vertical="center"/>
    </xf>
    <xf numFmtId="169" fontId="1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9" fontId="10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11" sqref="B11"/>
    </sheetView>
  </sheetViews>
  <sheetFormatPr defaultColWidth="9.140625" defaultRowHeight="18" customHeight="1"/>
  <cols>
    <col min="1" max="1" width="5.00390625" style="70" bestFit="1" customWidth="1"/>
    <col min="2" max="2" width="46.28125" style="9" bestFit="1" customWidth="1"/>
    <col min="3" max="4" width="15.7109375" style="21" customWidth="1"/>
    <col min="5" max="7" width="6.7109375" style="17" customWidth="1"/>
    <col min="8" max="8" width="0" style="9" hidden="1" customWidth="1"/>
    <col min="9" max="16384" width="9.140625" style="9" customWidth="1"/>
  </cols>
  <sheetData>
    <row r="1" spans="1:7" s="10" customFormat="1" ht="18" customHeight="1">
      <c r="A1" s="70"/>
      <c r="B1" s="71" t="s">
        <v>122</v>
      </c>
      <c r="C1" s="31" t="s">
        <v>77</v>
      </c>
      <c r="D1" s="31" t="s">
        <v>78</v>
      </c>
      <c r="E1" s="72" t="s">
        <v>120</v>
      </c>
      <c r="F1" s="72" t="s">
        <v>119</v>
      </c>
      <c r="G1" s="73" t="s">
        <v>121</v>
      </c>
    </row>
    <row r="2" spans="1:11" s="55" customFormat="1" ht="18" customHeight="1">
      <c r="A2" s="80">
        <v>1.0541</v>
      </c>
      <c r="B2" s="29" t="s">
        <v>79</v>
      </c>
      <c r="C2" s="57">
        <v>40000000</v>
      </c>
      <c r="D2" s="57">
        <f>C2*$A$2</f>
        <v>42164000</v>
      </c>
      <c r="E2" s="58"/>
      <c r="F2" s="59"/>
      <c r="G2" s="59"/>
      <c r="H2" s="56"/>
      <c r="I2" s="56"/>
      <c r="J2" s="56"/>
      <c r="K2" s="56"/>
    </row>
    <row r="3" spans="1:7" ht="18" customHeight="1">
      <c r="A3" s="70">
        <v>11.1</v>
      </c>
      <c r="B3" s="9" t="s">
        <v>150</v>
      </c>
      <c r="C3" s="12">
        <f>'Full-time permanent staff costs'!I22+'Full-time permanent staff costs'!I41</f>
        <v>13284261.420000002</v>
      </c>
      <c r="D3" s="12">
        <f>'Full-time permanent staff costs'!P22+'Full-time permanent staff costs'!P41</f>
        <v>13727125.7928</v>
      </c>
      <c r="E3" s="20">
        <f>1/1.367*E6</f>
        <v>0.31773411234370647</v>
      </c>
      <c r="F3" s="20">
        <f aca="true" t="shared" si="0" ref="F3:F16">C3/$C$2</f>
        <v>0.3321065355</v>
      </c>
      <c r="G3" s="20">
        <f>F3-E3</f>
        <v>0.014372423156293557</v>
      </c>
    </row>
    <row r="4" spans="1:7" ht="18" customHeight="1">
      <c r="A4" s="70">
        <v>11.3</v>
      </c>
      <c r="B4" s="9" t="s">
        <v>151</v>
      </c>
      <c r="C4" s="21">
        <f>E4/E3*C3</f>
        <v>869634.7883386877</v>
      </c>
      <c r="D4" s="21">
        <f>C4*$A$2</f>
        <v>916682.0303878108</v>
      </c>
      <c r="E4" s="20">
        <f>13/625</f>
        <v>0.0208</v>
      </c>
      <c r="F4" s="20">
        <f t="shared" si="0"/>
        <v>0.021740869708467194</v>
      </c>
      <c r="G4" s="20">
        <f aca="true" t="shared" si="1" ref="G4:G16">F4-E4</f>
        <v>0.0009408697084671951</v>
      </c>
    </row>
    <row r="5" spans="1:7" ht="18" customHeight="1">
      <c r="A5" s="70">
        <v>11.5</v>
      </c>
      <c r="B5" s="9" t="s">
        <v>152</v>
      </c>
      <c r="C5" s="21">
        <f>0.367*C3</f>
        <v>4875323.941140001</v>
      </c>
      <c r="D5" s="21">
        <f>0.367*D3</f>
        <v>5037855.1659576</v>
      </c>
      <c r="E5" s="20">
        <f>0.367*E3</f>
        <v>0.11660841923014027</v>
      </c>
      <c r="F5" s="20">
        <f t="shared" si="0"/>
        <v>0.12188309852850002</v>
      </c>
      <c r="G5" s="20">
        <f t="shared" si="1"/>
        <v>0.005274679298359744</v>
      </c>
    </row>
    <row r="6" spans="1:8" ht="18" customHeight="1">
      <c r="A6" s="70">
        <v>11.9</v>
      </c>
      <c r="B6" s="9" t="s">
        <v>153</v>
      </c>
      <c r="C6" s="21">
        <f>SUM(C3:C5)</f>
        <v>19029220.14947869</v>
      </c>
      <c r="D6" s="21">
        <f>SUM(D3:D5)</f>
        <v>19681662.989145413</v>
      </c>
      <c r="E6" s="22">
        <f>H6/SUM($H$6:$H$16)</f>
        <v>0.4343425315738467</v>
      </c>
      <c r="F6" s="22">
        <f t="shared" si="0"/>
        <v>0.47573050373696724</v>
      </c>
      <c r="G6" s="22">
        <f t="shared" si="1"/>
        <v>0.04138797216312051</v>
      </c>
      <c r="H6" s="9">
        <f>239/625</f>
        <v>0.3824</v>
      </c>
    </row>
    <row r="7" spans="1:8" ht="18" customHeight="1">
      <c r="A7" s="70">
        <v>12.1</v>
      </c>
      <c r="B7" s="9" t="s">
        <v>82</v>
      </c>
      <c r="C7" s="21">
        <f>$E7/SUM($E$7:$E$16)*(C$2-C$6)</f>
        <v>3503473.6587897786</v>
      </c>
      <c r="D7" s="21">
        <f>$E7/SUM($E$7:$E$16)*(D$2-D$6)</f>
        <v>3756001.2582748816</v>
      </c>
      <c r="E7" s="22">
        <f aca="true" t="shared" si="2" ref="E7:E16">H7/SUM($H$6:$H$16)</f>
        <v>0.09450130394075325</v>
      </c>
      <c r="F7" s="22">
        <f t="shared" si="0"/>
        <v>0.08758684146974446</v>
      </c>
      <c r="G7" s="22">
        <f t="shared" si="1"/>
        <v>-0.006914462471008784</v>
      </c>
      <c r="H7" s="9">
        <f>52/625</f>
        <v>0.0832</v>
      </c>
    </row>
    <row r="8" spans="1:8" ht="18" customHeight="1">
      <c r="A8" s="70">
        <v>21</v>
      </c>
      <c r="B8" s="9" t="s">
        <v>83</v>
      </c>
      <c r="C8" s="21">
        <f aca="true" t="shared" si="3" ref="C8:D16">$E8/SUM($E$7:$E$16)*(C$2-C$6)</f>
        <v>1341052.8152520896</v>
      </c>
      <c r="D8" s="21">
        <f t="shared" si="3"/>
        <v>1437714.8373479918</v>
      </c>
      <c r="E8" s="22">
        <f t="shared" si="2"/>
        <v>0.03617302484258377</v>
      </c>
      <c r="F8" s="22">
        <f t="shared" si="0"/>
        <v>0.03352632038130224</v>
      </c>
      <c r="G8" s="22">
        <f t="shared" si="1"/>
        <v>-0.0026467044612815335</v>
      </c>
      <c r="H8" s="9">
        <f>10/314</f>
        <v>0.03184713375796178</v>
      </c>
    </row>
    <row r="9" spans="1:8" ht="18" customHeight="1">
      <c r="A9" s="70">
        <v>22</v>
      </c>
      <c r="B9" s="9" t="s">
        <v>84</v>
      </c>
      <c r="C9" s="21">
        <f t="shared" si="3"/>
        <v>239256.01363020236</v>
      </c>
      <c r="D9" s="21">
        <f t="shared" si="3"/>
        <v>256501.39711776673</v>
      </c>
      <c r="E9" s="22">
        <f t="shared" si="2"/>
        <v>0.006453596477597333</v>
      </c>
      <c r="F9" s="22">
        <f t="shared" si="0"/>
        <v>0.005981400340755059</v>
      </c>
      <c r="G9" s="22">
        <f t="shared" si="1"/>
        <v>-0.00047219613684227387</v>
      </c>
      <c r="H9" s="9">
        <f>2/352</f>
        <v>0.005681818181818182</v>
      </c>
    </row>
    <row r="10" spans="1:8" ht="18" customHeight="1">
      <c r="A10" s="70">
        <v>23.2</v>
      </c>
      <c r="B10" s="9" t="s">
        <v>85</v>
      </c>
      <c r="C10" s="21">
        <f t="shared" si="3"/>
        <v>10106174.015739746</v>
      </c>
      <c r="D10" s="21">
        <f t="shared" si="3"/>
        <v>10834619.014254466</v>
      </c>
      <c r="E10" s="22">
        <f t="shared" si="2"/>
        <v>0.2725999152137113</v>
      </c>
      <c r="F10" s="22">
        <f t="shared" si="0"/>
        <v>0.25265435039349365</v>
      </c>
      <c r="G10" s="22">
        <f t="shared" si="1"/>
        <v>-0.019945564820217643</v>
      </c>
      <c r="H10" s="9">
        <f>150/625</f>
        <v>0.24</v>
      </c>
    </row>
    <row r="11" spans="1:8" ht="18" customHeight="1">
      <c r="A11" s="70">
        <v>23.3</v>
      </c>
      <c r="B11" s="9" t="s">
        <v>161</v>
      </c>
      <c r="C11" s="21">
        <f t="shared" si="3"/>
        <v>1482238.8556418298</v>
      </c>
      <c r="D11" s="21">
        <f t="shared" si="3"/>
        <v>1589077.4554239886</v>
      </c>
      <c r="E11" s="22">
        <f t="shared" si="2"/>
        <v>0.039981320898011</v>
      </c>
      <c r="F11" s="22">
        <f t="shared" si="0"/>
        <v>0.037055971391045744</v>
      </c>
      <c r="G11" s="22">
        <f t="shared" si="1"/>
        <v>-0.002925349506965255</v>
      </c>
      <c r="H11" s="9">
        <f>22/625</f>
        <v>0.0352</v>
      </c>
    </row>
    <row r="12" spans="1:8" ht="18" customHeight="1">
      <c r="A12" s="70">
        <v>24</v>
      </c>
      <c r="B12" s="9" t="s">
        <v>87</v>
      </c>
      <c r="C12" s="21">
        <f t="shared" si="3"/>
        <v>441394.742126998</v>
      </c>
      <c r="D12" s="21">
        <f t="shared" si="3"/>
        <v>473210.124661708</v>
      </c>
      <c r="E12" s="22">
        <f t="shared" si="2"/>
        <v>0.011906006080263423</v>
      </c>
      <c r="F12" s="22">
        <f t="shared" si="0"/>
        <v>0.01103486855317495</v>
      </c>
      <c r="G12" s="22">
        <f t="shared" si="1"/>
        <v>-0.0008711375270884728</v>
      </c>
      <c r="H12" s="9">
        <f>5/477</f>
        <v>0.010482180293501049</v>
      </c>
    </row>
    <row r="13" spans="1:8" ht="18" customHeight="1">
      <c r="A13" s="70">
        <v>25.1</v>
      </c>
      <c r="B13" s="9" t="s">
        <v>88</v>
      </c>
      <c r="C13" s="21">
        <f t="shared" si="3"/>
        <v>421090.5839891561</v>
      </c>
      <c r="D13" s="21">
        <f t="shared" si="3"/>
        <v>451442.45892726944</v>
      </c>
      <c r="E13" s="22">
        <f t="shared" si="2"/>
        <v>0.011358329800571306</v>
      </c>
      <c r="F13" s="22">
        <f t="shared" si="0"/>
        <v>0.010527264599728903</v>
      </c>
      <c r="G13" s="22">
        <f t="shared" si="1"/>
        <v>-0.0008310652008424024</v>
      </c>
      <c r="H13" s="9">
        <f>3/300</f>
        <v>0.01</v>
      </c>
    </row>
    <row r="14" spans="1:9" ht="18" customHeight="1" hidden="1">
      <c r="A14" s="70">
        <v>25.2</v>
      </c>
      <c r="B14" s="9" t="s">
        <v>89</v>
      </c>
      <c r="C14" s="21">
        <f t="shared" si="3"/>
        <v>0</v>
      </c>
      <c r="D14" s="21">
        <f t="shared" si="3"/>
        <v>0</v>
      </c>
      <c r="E14" s="22">
        <f t="shared" si="2"/>
        <v>0</v>
      </c>
      <c r="F14" s="22">
        <f t="shared" si="0"/>
        <v>0</v>
      </c>
      <c r="G14" s="22">
        <f t="shared" si="1"/>
        <v>0</v>
      </c>
      <c r="H14" s="9">
        <v>0</v>
      </c>
      <c r="I14" s="79"/>
    </row>
    <row r="15" spans="1:8" ht="18" customHeight="1">
      <c r="A15" s="70">
        <v>26</v>
      </c>
      <c r="B15" s="9" t="s">
        <v>90</v>
      </c>
      <c r="C15" s="21">
        <f t="shared" si="3"/>
        <v>1482238.8556418298</v>
      </c>
      <c r="D15" s="21">
        <f t="shared" si="3"/>
        <v>1589077.4554239886</v>
      </c>
      <c r="E15" s="22">
        <f t="shared" si="2"/>
        <v>0.039981320898011</v>
      </c>
      <c r="F15" s="22">
        <f t="shared" si="0"/>
        <v>0.037055971391045744</v>
      </c>
      <c r="G15" s="22">
        <f t="shared" si="1"/>
        <v>-0.002925349506965255</v>
      </c>
      <c r="H15" s="9">
        <f>22/625</f>
        <v>0.0352</v>
      </c>
    </row>
    <row r="16" spans="1:8" ht="18" customHeight="1">
      <c r="A16" s="70">
        <v>31</v>
      </c>
      <c r="B16" s="9" t="s">
        <v>91</v>
      </c>
      <c r="C16" s="21">
        <f t="shared" si="3"/>
        <v>1953860.3097096845</v>
      </c>
      <c r="D16" s="21">
        <f t="shared" si="3"/>
        <v>2094693.0094225302</v>
      </c>
      <c r="E16" s="22">
        <f t="shared" si="2"/>
        <v>0.052702650274650854</v>
      </c>
      <c r="F16" s="22">
        <f t="shared" si="0"/>
        <v>0.04884650774274211</v>
      </c>
      <c r="G16" s="22">
        <f t="shared" si="1"/>
        <v>-0.003856142531908746</v>
      </c>
      <c r="H16" s="9">
        <f>29/625</f>
        <v>0.0464</v>
      </c>
    </row>
    <row r="17" spans="2:5" ht="18" customHeight="1">
      <c r="B17" s="13" t="s">
        <v>81</v>
      </c>
      <c r="C17" s="19">
        <f>SUM(C6:C16)</f>
        <v>40000000</v>
      </c>
      <c r="D17" s="19">
        <f>SUM(D6:D16)</f>
        <v>42164000.00000001</v>
      </c>
      <c r="E17" s="82"/>
    </row>
    <row r="18" spans="2:7" ht="18" customHeight="1">
      <c r="B18" s="23" t="s">
        <v>136</v>
      </c>
      <c r="C18" s="18">
        <v>30000000</v>
      </c>
      <c r="D18" s="18">
        <v>0</v>
      </c>
      <c r="E18" s="94" t="s">
        <v>172</v>
      </c>
      <c r="F18" s="94"/>
      <c r="G18" s="94"/>
    </row>
    <row r="19" spans="1:7" ht="18" customHeight="1">
      <c r="A19" s="70">
        <v>11.3</v>
      </c>
      <c r="B19" s="9" t="s">
        <v>151</v>
      </c>
      <c r="C19" s="12">
        <f>$E19/SUM($E$19:$E$25)*C$18</f>
        <v>2003176.9068116422</v>
      </c>
      <c r="D19" s="12">
        <f>$E6/($E$6+$E$8+$E$9+$E$11+$E$12+$E$13)*D$18</f>
        <v>0</v>
      </c>
      <c r="E19" s="96">
        <f>F19*E4</f>
        <v>0.0208</v>
      </c>
      <c r="F19" s="95">
        <v>1</v>
      </c>
      <c r="G19" s="9"/>
    </row>
    <row r="20" spans="1:7" ht="18" customHeight="1">
      <c r="A20" s="70">
        <v>21</v>
      </c>
      <c r="B20" s="9" t="s">
        <v>83</v>
      </c>
      <c r="C20" s="12">
        <f aca="true" t="shared" si="4" ref="C20:C25">$E20/SUM($E$19:$E$25)*C$18</f>
        <v>6967400.770594967</v>
      </c>
      <c r="D20" s="12">
        <f>$E8/($E$6+$E$8+$E$9+$E$11+$E$12+$E$13)*D$18</f>
        <v>0</v>
      </c>
      <c r="E20" s="96">
        <f>F20*E8</f>
        <v>0.07234604968516754</v>
      </c>
      <c r="F20" s="95">
        <v>2</v>
      </c>
      <c r="G20" s="9"/>
    </row>
    <row r="21" spans="1:7" ht="18" customHeight="1">
      <c r="A21" s="70">
        <v>22</v>
      </c>
      <c r="B21" s="9" t="s">
        <v>84</v>
      </c>
      <c r="C21" s="12">
        <f t="shared" si="4"/>
        <v>1243047.6374811477</v>
      </c>
      <c r="D21" s="12">
        <f>$E9/($E$6+$E$8+$E$9+$E$11+$E$12+$E$13)*D$18</f>
        <v>0</v>
      </c>
      <c r="E21" s="96">
        <f>F21*E9</f>
        <v>0.012907192955194666</v>
      </c>
      <c r="F21" s="95">
        <v>2</v>
      </c>
      <c r="G21" s="9"/>
    </row>
    <row r="22" spans="1:7" ht="18" customHeight="1">
      <c r="A22" s="70">
        <v>23.3</v>
      </c>
      <c r="B22" s="9" t="s">
        <v>161</v>
      </c>
      <c r="C22" s="12">
        <f t="shared" si="4"/>
        <v>3850464.361861604</v>
      </c>
      <c r="D22" s="12">
        <f>$E11/($E$6+$E$8+$E$9+$E$11+$E$12+$E$13)*D$18</f>
        <v>0</v>
      </c>
      <c r="E22" s="96">
        <f>F22*E11</f>
        <v>0.039981320898011</v>
      </c>
      <c r="F22" s="95">
        <v>1</v>
      </c>
      <c r="G22" s="9"/>
    </row>
    <row r="23" spans="1:7" ht="18" customHeight="1">
      <c r="A23" s="70">
        <v>24</v>
      </c>
      <c r="B23" s="9" t="s">
        <v>87</v>
      </c>
      <c r="C23" s="12">
        <f t="shared" si="4"/>
        <v>1146626.751554937</v>
      </c>
      <c r="D23" s="12">
        <f>$E12/($E$6+$E$8+$E$9+$E$11+$E$12+$E$13)*D$18</f>
        <v>0</v>
      </c>
      <c r="E23" s="96">
        <f>F23*E12</f>
        <v>0.011906006080263423</v>
      </c>
      <c r="F23" s="95">
        <v>1</v>
      </c>
      <c r="G23" s="9"/>
    </row>
    <row r="24" spans="1:7" ht="18" customHeight="1">
      <c r="A24" s="70">
        <v>25.1</v>
      </c>
      <c r="B24" s="9" t="s">
        <v>88</v>
      </c>
      <c r="C24" s="12">
        <f t="shared" si="4"/>
        <v>10938819.209834099</v>
      </c>
      <c r="D24" s="12">
        <f>$E13/($E$6+$E$8+$E$9+$E$11+$E$12+$E$13)*D$18</f>
        <v>0</v>
      </c>
      <c r="E24" s="96">
        <f>F24*E13</f>
        <v>0.11358329800571305</v>
      </c>
      <c r="F24" s="95">
        <v>10</v>
      </c>
      <c r="G24" s="9"/>
    </row>
    <row r="25" spans="1:7" ht="18" customHeight="1">
      <c r="A25" s="70">
        <v>26</v>
      </c>
      <c r="B25" s="9" t="s">
        <v>90</v>
      </c>
      <c r="C25" s="12">
        <f t="shared" si="4"/>
        <v>3850464.361861604</v>
      </c>
      <c r="D25" s="12"/>
      <c r="E25" s="96">
        <f>F25*E15</f>
        <v>0.039981320898011</v>
      </c>
      <c r="F25" s="95">
        <v>1</v>
      </c>
      <c r="G25" s="9"/>
    </row>
    <row r="26" spans="2:6" ht="18" customHeight="1">
      <c r="B26" s="24" t="s">
        <v>137</v>
      </c>
      <c r="C26" s="19">
        <f>SUM(C19:C25)</f>
        <v>30000000</v>
      </c>
      <c r="D26" s="19">
        <f>SUM(D19:D24)</f>
        <v>0</v>
      </c>
      <c r="F26" s="95"/>
    </row>
    <row r="27" spans="2:4" ht="18" customHeight="1">
      <c r="B27" s="10" t="s">
        <v>131</v>
      </c>
      <c r="C27" s="18">
        <v>15000000</v>
      </c>
      <c r="D27" s="18">
        <f>1.0541*10000000</f>
        <v>10541000</v>
      </c>
    </row>
    <row r="28" spans="1:5" ht="18" customHeight="1">
      <c r="A28" s="77">
        <v>11.3</v>
      </c>
      <c r="B28" s="25" t="s">
        <v>123</v>
      </c>
      <c r="C28" s="12">
        <f>$E28/SUM($E$28:$E$35)*C$27</f>
        <v>2500000.0000000005</v>
      </c>
      <c r="D28" s="12">
        <f>$E28/SUM($E$28:$E$35)*D$27</f>
        <v>1756833.3333333335</v>
      </c>
      <c r="E28" s="20">
        <v>0.04</v>
      </c>
    </row>
    <row r="29" spans="1:5" ht="18" customHeight="1">
      <c r="A29" s="77">
        <v>21</v>
      </c>
      <c r="B29" s="25" t="s">
        <v>124</v>
      </c>
      <c r="C29" s="12">
        <f aca="true" t="shared" si="5" ref="C29:D36">$E29/SUM($E$28:$E$35)*C$27</f>
        <v>1250000.0000000002</v>
      </c>
      <c r="D29" s="12">
        <f t="shared" si="5"/>
        <v>878416.6666666667</v>
      </c>
      <c r="E29" s="20">
        <v>0.02</v>
      </c>
    </row>
    <row r="30" spans="1:5" ht="18" customHeight="1">
      <c r="A30" s="77">
        <v>22</v>
      </c>
      <c r="B30" s="25" t="s">
        <v>125</v>
      </c>
      <c r="C30" s="12">
        <f t="shared" si="5"/>
        <v>1250000.0000000002</v>
      </c>
      <c r="D30" s="12">
        <f t="shared" si="5"/>
        <v>878416.6666666667</v>
      </c>
      <c r="E30" s="20">
        <v>0.02</v>
      </c>
    </row>
    <row r="31" spans="1:5" ht="18" customHeight="1">
      <c r="A31" s="77">
        <v>23.2</v>
      </c>
      <c r="B31" s="25" t="s">
        <v>126</v>
      </c>
      <c r="C31" s="12">
        <f t="shared" si="5"/>
        <v>1250000.0000000002</v>
      </c>
      <c r="D31" s="12">
        <f t="shared" si="5"/>
        <v>878416.6666666667</v>
      </c>
      <c r="E31" s="20">
        <v>0.02</v>
      </c>
    </row>
    <row r="32" spans="1:5" ht="18" customHeight="1">
      <c r="A32" s="77">
        <v>23.3</v>
      </c>
      <c r="B32" s="25" t="s">
        <v>162</v>
      </c>
      <c r="C32" s="12">
        <f t="shared" si="5"/>
        <v>1250000.0000000002</v>
      </c>
      <c r="D32" s="12">
        <f t="shared" si="5"/>
        <v>878416.6666666667</v>
      </c>
      <c r="E32" s="20">
        <v>0.02</v>
      </c>
    </row>
    <row r="33" spans="1:5" ht="18" customHeight="1">
      <c r="A33" s="77">
        <v>24</v>
      </c>
      <c r="B33" s="25" t="s">
        <v>128</v>
      </c>
      <c r="C33" s="12">
        <f t="shared" si="5"/>
        <v>3750000</v>
      </c>
      <c r="D33" s="12">
        <f t="shared" si="5"/>
        <v>2635250</v>
      </c>
      <c r="E33" s="20">
        <v>0.06</v>
      </c>
    </row>
    <row r="34" spans="1:5" ht="18" customHeight="1">
      <c r="A34" s="70">
        <v>25.1</v>
      </c>
      <c r="B34" s="9" t="s">
        <v>88</v>
      </c>
      <c r="C34" s="12">
        <f t="shared" si="5"/>
        <v>1250000.0000000002</v>
      </c>
      <c r="D34" s="12">
        <f t="shared" si="5"/>
        <v>878416.6666666667</v>
      </c>
      <c r="E34" s="20">
        <v>0.02</v>
      </c>
    </row>
    <row r="35" spans="1:5" ht="18" customHeight="1">
      <c r="A35" s="77">
        <v>25.2</v>
      </c>
      <c r="B35" s="25" t="s">
        <v>129</v>
      </c>
      <c r="C35" s="12">
        <f t="shared" si="5"/>
        <v>2500000.0000000005</v>
      </c>
      <c r="D35" s="12">
        <f t="shared" si="5"/>
        <v>1756833.3333333335</v>
      </c>
      <c r="E35" s="20">
        <v>0.04</v>
      </c>
    </row>
    <row r="36" spans="1:5" ht="18" customHeight="1">
      <c r="A36" s="70">
        <v>26</v>
      </c>
      <c r="B36" s="9" t="s">
        <v>90</v>
      </c>
      <c r="C36" s="12">
        <f t="shared" si="5"/>
        <v>1250000.0000000002</v>
      </c>
      <c r="D36" s="12">
        <f t="shared" si="5"/>
        <v>878416.6666666667</v>
      </c>
      <c r="E36" s="20">
        <v>0.02</v>
      </c>
    </row>
    <row r="37" spans="1:4" ht="18" customHeight="1">
      <c r="A37" s="77"/>
      <c r="B37" s="24" t="s">
        <v>130</v>
      </c>
      <c r="C37" s="19">
        <f>SUM(C28:C35)</f>
        <v>15000000</v>
      </c>
      <c r="D37" s="19">
        <f>SUM(D28:D35)</f>
        <v>10541000.000000002</v>
      </c>
    </row>
    <row r="38" spans="1:6" ht="18" customHeight="1">
      <c r="A38" s="77"/>
      <c r="B38" s="23" t="s">
        <v>138</v>
      </c>
      <c r="C38" s="18">
        <f>C43-C37-C26-C17</f>
        <v>115000000</v>
      </c>
      <c r="E38" s="81"/>
      <c r="F38" s="81"/>
    </row>
    <row r="39" spans="1:6" ht="18" customHeight="1">
      <c r="A39" s="77">
        <v>41</v>
      </c>
      <c r="B39" s="25" t="s">
        <v>139</v>
      </c>
      <c r="C39" s="21">
        <f>SUM('Grants Allocation'!C19:H19)</f>
        <v>115000000</v>
      </c>
      <c r="D39" s="21">
        <f>SUM('Grants Allocation'!I19:N19)</f>
        <v>158115000</v>
      </c>
      <c r="E39" s="72" t="s">
        <v>171</v>
      </c>
      <c r="F39" s="72" t="s">
        <v>171</v>
      </c>
    </row>
    <row r="40" spans="2:6" ht="18" customHeight="1">
      <c r="B40" s="24" t="s">
        <v>140</v>
      </c>
      <c r="C40" s="19">
        <f>C39</f>
        <v>115000000</v>
      </c>
      <c r="D40" s="19">
        <f>SUM(D39)</f>
        <v>158115000</v>
      </c>
      <c r="E40" s="22">
        <f>C40/C41</f>
        <v>0.575</v>
      </c>
      <c r="F40" s="22">
        <f>D40/D41</f>
        <v>0.75</v>
      </c>
    </row>
    <row r="41" spans="1:7" s="15" customFormat="1" ht="18" customHeight="1">
      <c r="A41" s="78"/>
      <c r="B41" s="14" t="s">
        <v>147</v>
      </c>
      <c r="C41" s="26">
        <f>C40+C37+C26+C17</f>
        <v>200000000</v>
      </c>
      <c r="D41" s="26">
        <f>D40+D37+D26+D17</f>
        <v>210820000</v>
      </c>
      <c r="E41" s="27"/>
      <c r="F41" s="27"/>
      <c r="G41" s="27"/>
    </row>
    <row r="43" spans="2:4" ht="18" customHeight="1">
      <c r="B43" s="10" t="s">
        <v>149</v>
      </c>
      <c r="C43" s="28">
        <v>200000000</v>
      </c>
      <c r="D43" s="28">
        <f>1.0541*200000000</f>
        <v>210820000</v>
      </c>
    </row>
    <row r="45" spans="1:7" s="15" customFormat="1" ht="18" customHeight="1">
      <c r="A45" s="78"/>
      <c r="B45" s="16" t="s">
        <v>148</v>
      </c>
      <c r="C45" s="26">
        <f>C43-C41</f>
        <v>0</v>
      </c>
      <c r="D45" s="26">
        <f>D43-D41</f>
        <v>0</v>
      </c>
      <c r="E45" s="27"/>
      <c r="F45" s="27"/>
      <c r="G45" s="27"/>
    </row>
  </sheetData>
  <mergeCells count="1">
    <mergeCell ref="E18:G18"/>
  </mergeCells>
  <printOptions/>
  <pageMargins left="1" right="1" top="1" bottom="1" header="0.5" footer="0.5"/>
  <pageSetup horizontalDpi="300" verticalDpi="300" orientation="landscape" r:id="rId3"/>
  <headerFooter alignWithMargins="0">
    <oddHeader>&amp;C&amp;"Times New Roman,Bold"&amp;12&amp;U&amp;A&amp;R&amp;"Times New Roman,Regular"&amp;12Appendix A</oddHeader>
    <oddFooter>&amp;C&amp;"Times New Roman,Regular"&amp;12A-&amp;P</oddFooter>
  </headerFooter>
  <rowBreaks count="1" manualBreakCount="1">
    <brk id="26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5" sqref="D15"/>
    </sheetView>
  </sheetViews>
  <sheetFormatPr defaultColWidth="9.140625" defaultRowHeight="12.75"/>
  <cols>
    <col min="1" max="1" width="20.421875" style="0" bestFit="1" customWidth="1"/>
    <col min="2" max="2" width="4.421875" style="0" bestFit="1" customWidth="1"/>
    <col min="3" max="9" width="8.7109375" style="0" customWidth="1"/>
  </cols>
  <sheetData>
    <row r="1" spans="3:8" ht="12.75">
      <c r="C1" t="s">
        <v>67</v>
      </c>
      <c r="D1" t="s">
        <v>68</v>
      </c>
      <c r="E1" t="s">
        <v>71</v>
      </c>
      <c r="F1" t="s">
        <v>66</v>
      </c>
      <c r="G1" t="s">
        <v>70</v>
      </c>
      <c r="H1" t="s">
        <v>69</v>
      </c>
    </row>
    <row r="3" ht="12.75">
      <c r="A3" s="2" t="s">
        <v>99</v>
      </c>
    </row>
    <row r="4" spans="1:3" ht="12.75">
      <c r="A4" t="s">
        <v>17</v>
      </c>
      <c r="B4" t="s">
        <v>66</v>
      </c>
      <c r="C4" s="3">
        <v>4352</v>
      </c>
    </row>
    <row r="5" spans="1:3" ht="12.75">
      <c r="A5" t="s">
        <v>18</v>
      </c>
      <c r="B5" t="s">
        <v>67</v>
      </c>
      <c r="C5" s="3">
        <v>614</v>
      </c>
    </row>
    <row r="6" spans="1:3" ht="12.75">
      <c r="A6" t="s">
        <v>19</v>
      </c>
      <c r="B6" t="s">
        <v>68</v>
      </c>
      <c r="C6" s="3">
        <v>4669</v>
      </c>
    </row>
    <row r="7" spans="1:3" ht="12.75">
      <c r="A7" t="s">
        <v>20</v>
      </c>
      <c r="B7" t="s">
        <v>66</v>
      </c>
      <c r="C7" s="3">
        <v>2538</v>
      </c>
    </row>
    <row r="8" spans="1:3" ht="12.75">
      <c r="A8" t="s">
        <v>21</v>
      </c>
      <c r="B8" t="s">
        <v>67</v>
      </c>
      <c r="C8" s="3">
        <v>32667</v>
      </c>
    </row>
    <row r="9" spans="1:3" ht="12.75">
      <c r="A9" t="s">
        <v>22</v>
      </c>
      <c r="B9" t="s">
        <v>68</v>
      </c>
      <c r="C9" s="3">
        <v>3971</v>
      </c>
    </row>
    <row r="10" spans="1:3" ht="12.75">
      <c r="A10" t="s">
        <v>72</v>
      </c>
      <c r="B10" t="s">
        <v>69</v>
      </c>
      <c r="C10" s="3">
        <v>3274</v>
      </c>
    </row>
    <row r="11" spans="1:3" ht="12.75">
      <c r="A11" t="s">
        <v>23</v>
      </c>
      <c r="B11" t="s">
        <v>70</v>
      </c>
      <c r="C11" s="3">
        <v>744</v>
      </c>
    </row>
    <row r="12" spans="1:3" ht="12.75">
      <c r="A12" t="s">
        <v>24</v>
      </c>
      <c r="B12" t="s">
        <v>70</v>
      </c>
      <c r="C12" s="3">
        <v>523</v>
      </c>
    </row>
    <row r="13" spans="1:3" ht="12.75">
      <c r="A13" t="s">
        <v>25</v>
      </c>
      <c r="B13" t="s">
        <v>66</v>
      </c>
      <c r="C13" s="3">
        <v>14916</v>
      </c>
    </row>
    <row r="14" spans="1:3" ht="12.75">
      <c r="A14" t="s">
        <v>26</v>
      </c>
      <c r="B14" t="s">
        <v>66</v>
      </c>
      <c r="C14" s="3">
        <v>7642</v>
      </c>
    </row>
    <row r="15" spans="1:3" ht="12.75">
      <c r="A15" t="s">
        <v>27</v>
      </c>
      <c r="B15" t="s">
        <v>67</v>
      </c>
      <c r="C15" s="3">
        <v>1193</v>
      </c>
    </row>
    <row r="16" spans="1:3" ht="12.75">
      <c r="A16" t="s">
        <v>28</v>
      </c>
      <c r="B16" t="s">
        <v>67</v>
      </c>
      <c r="C16" s="3">
        <v>1229</v>
      </c>
    </row>
    <row r="17" spans="1:3" ht="12.75">
      <c r="A17" t="s">
        <v>29</v>
      </c>
      <c r="B17" t="s">
        <v>71</v>
      </c>
      <c r="C17" s="3">
        <v>12045</v>
      </c>
    </row>
    <row r="18" spans="1:3" ht="12.75">
      <c r="A18" t="s">
        <v>30</v>
      </c>
      <c r="B18" t="s">
        <v>71</v>
      </c>
      <c r="C18" s="3">
        <v>5899</v>
      </c>
    </row>
    <row r="19" spans="1:3" ht="12.75">
      <c r="A19" t="s">
        <v>31</v>
      </c>
      <c r="B19" t="s">
        <v>71</v>
      </c>
      <c r="C19" s="3">
        <v>2862</v>
      </c>
    </row>
    <row r="20" spans="1:3" ht="12.75">
      <c r="A20" t="s">
        <v>32</v>
      </c>
      <c r="B20" t="s">
        <v>71</v>
      </c>
      <c r="C20" s="3">
        <v>2629</v>
      </c>
    </row>
    <row r="21" spans="1:3" ht="12.75">
      <c r="A21" t="s">
        <v>33</v>
      </c>
      <c r="B21" t="s">
        <v>70</v>
      </c>
      <c r="C21" s="3">
        <v>3936</v>
      </c>
    </row>
    <row r="22" spans="1:3" ht="12.75">
      <c r="A22" t="s">
        <v>34</v>
      </c>
      <c r="B22" t="s">
        <v>66</v>
      </c>
      <c r="C22" s="3">
        <v>4369</v>
      </c>
    </row>
    <row r="23" spans="1:3" ht="12.75">
      <c r="A23" t="s">
        <v>35</v>
      </c>
      <c r="B23" t="s">
        <v>69</v>
      </c>
      <c r="C23" s="3">
        <v>1244</v>
      </c>
    </row>
    <row r="24" spans="1:3" ht="12.75">
      <c r="A24" t="s">
        <v>36</v>
      </c>
      <c r="B24" t="s">
        <v>70</v>
      </c>
      <c r="C24" s="3">
        <v>5135</v>
      </c>
    </row>
    <row r="25" spans="1:3" ht="12.75">
      <c r="A25" t="s">
        <v>37</v>
      </c>
      <c r="B25" t="s">
        <v>69</v>
      </c>
      <c r="C25" s="3">
        <v>6147</v>
      </c>
    </row>
    <row r="26" spans="1:3" ht="12.75">
      <c r="A26" t="s">
        <v>38</v>
      </c>
      <c r="B26" t="s">
        <v>71</v>
      </c>
      <c r="C26" s="3">
        <v>9817</v>
      </c>
    </row>
    <row r="27" spans="1:3" ht="12.75">
      <c r="A27" t="s">
        <v>39</v>
      </c>
      <c r="B27" t="s">
        <v>71</v>
      </c>
      <c r="C27" s="3">
        <v>4725</v>
      </c>
    </row>
    <row r="28" spans="1:3" ht="12.75">
      <c r="A28" t="s">
        <v>40</v>
      </c>
      <c r="B28" t="s">
        <v>66</v>
      </c>
      <c r="C28" s="3">
        <v>2752</v>
      </c>
    </row>
    <row r="29" spans="1:3" ht="12.75">
      <c r="A29" t="s">
        <v>41</v>
      </c>
      <c r="B29" t="s">
        <v>71</v>
      </c>
      <c r="C29" s="3">
        <v>5439</v>
      </c>
    </row>
    <row r="30" spans="1:3" ht="12.75">
      <c r="A30" t="s">
        <v>42</v>
      </c>
      <c r="B30" t="s">
        <v>67</v>
      </c>
      <c r="C30" s="3">
        <v>880</v>
      </c>
    </row>
    <row r="31" spans="1:3" ht="12.75">
      <c r="A31" t="s">
        <v>43</v>
      </c>
      <c r="B31" t="s">
        <v>71</v>
      </c>
      <c r="C31" s="3">
        <v>1663</v>
      </c>
    </row>
    <row r="32" spans="1:3" ht="12.75">
      <c r="A32" t="s">
        <v>44</v>
      </c>
      <c r="B32" t="s">
        <v>67</v>
      </c>
      <c r="C32" s="3">
        <v>1747</v>
      </c>
    </row>
    <row r="33" spans="1:3" ht="12.75">
      <c r="A33" t="s">
        <v>45</v>
      </c>
      <c r="B33" t="s">
        <v>69</v>
      </c>
      <c r="C33" s="3">
        <v>1185</v>
      </c>
    </row>
    <row r="34" spans="1:3" ht="12.75">
      <c r="A34" t="s">
        <v>46</v>
      </c>
      <c r="B34" t="s">
        <v>69</v>
      </c>
      <c r="C34" s="3">
        <v>8115</v>
      </c>
    </row>
    <row r="35" spans="1:3" ht="12.75">
      <c r="A35" t="s">
        <v>47</v>
      </c>
      <c r="B35" t="s">
        <v>68</v>
      </c>
      <c r="C35" s="3">
        <v>1737</v>
      </c>
    </row>
    <row r="36" spans="1:3" ht="12.75">
      <c r="A36" t="s">
        <v>76</v>
      </c>
      <c r="B36" t="s">
        <v>69</v>
      </c>
      <c r="C36" s="3">
        <v>18175</v>
      </c>
    </row>
    <row r="37" spans="1:3" ht="12.75">
      <c r="A37" t="s">
        <v>48</v>
      </c>
      <c r="B37" t="s">
        <v>70</v>
      </c>
      <c r="C37" s="3">
        <v>7546</v>
      </c>
    </row>
    <row r="38" spans="1:3" ht="12.75">
      <c r="A38" t="s">
        <v>49</v>
      </c>
      <c r="B38" t="s">
        <v>71</v>
      </c>
      <c r="C38" s="3">
        <v>638</v>
      </c>
    </row>
    <row r="39" spans="1:3" ht="12.75">
      <c r="A39" t="s">
        <v>50</v>
      </c>
      <c r="B39" t="s">
        <v>71</v>
      </c>
      <c r="C39" s="3">
        <v>11209</v>
      </c>
    </row>
    <row r="40" spans="1:3" ht="12.75">
      <c r="A40" t="s">
        <v>51</v>
      </c>
      <c r="B40" t="s">
        <v>68</v>
      </c>
      <c r="C40" s="3">
        <v>3347</v>
      </c>
    </row>
    <row r="41" spans="1:3" ht="12.75">
      <c r="A41" t="s">
        <v>52</v>
      </c>
      <c r="B41" t="s">
        <v>67</v>
      </c>
      <c r="C41" s="3">
        <v>3282</v>
      </c>
    </row>
    <row r="42" spans="1:3" ht="12.75">
      <c r="A42" t="s">
        <v>53</v>
      </c>
      <c r="B42" t="s">
        <v>69</v>
      </c>
      <c r="C42" s="3">
        <v>12001</v>
      </c>
    </row>
    <row r="43" spans="1:3" ht="12.75">
      <c r="A43" t="s">
        <v>54</v>
      </c>
      <c r="B43" t="s">
        <v>69</v>
      </c>
      <c r="C43" s="3">
        <v>988</v>
      </c>
    </row>
    <row r="44" spans="1:3" ht="12.75">
      <c r="A44" t="s">
        <v>55</v>
      </c>
      <c r="B44" t="s">
        <v>66</v>
      </c>
      <c r="C44" s="3">
        <v>3836</v>
      </c>
    </row>
    <row r="45" spans="1:3" ht="12.75">
      <c r="A45" t="s">
        <v>56</v>
      </c>
      <c r="B45" t="s">
        <v>71</v>
      </c>
      <c r="C45" s="3">
        <v>738</v>
      </c>
    </row>
    <row r="46" spans="1:3" ht="12.75">
      <c r="A46" t="s">
        <v>57</v>
      </c>
      <c r="B46" t="s">
        <v>70</v>
      </c>
      <c r="C46" s="3">
        <v>5431</v>
      </c>
    </row>
    <row r="47" spans="1:3" ht="12.75">
      <c r="A47" t="s">
        <v>58</v>
      </c>
      <c r="B47" t="s">
        <v>68</v>
      </c>
      <c r="C47" s="3">
        <v>19760</v>
      </c>
    </row>
    <row r="48" spans="1:3" ht="12.75">
      <c r="A48" t="s">
        <v>59</v>
      </c>
      <c r="B48" t="s">
        <v>68</v>
      </c>
      <c r="C48" s="3">
        <v>2100</v>
      </c>
    </row>
    <row r="49" spans="1:3" ht="12.75">
      <c r="A49" t="s">
        <v>60</v>
      </c>
      <c r="B49" t="s">
        <v>69</v>
      </c>
      <c r="C49" s="3">
        <v>591</v>
      </c>
    </row>
    <row r="50" spans="1:3" ht="12.75">
      <c r="A50" t="s">
        <v>61</v>
      </c>
      <c r="B50" t="s">
        <v>70</v>
      </c>
      <c r="C50" s="3">
        <v>6791</v>
      </c>
    </row>
    <row r="51" spans="1:3" ht="12.75">
      <c r="A51" t="s">
        <v>62</v>
      </c>
      <c r="B51" t="s">
        <v>67</v>
      </c>
      <c r="C51" s="3">
        <v>5689</v>
      </c>
    </row>
    <row r="52" spans="1:3" ht="12.75">
      <c r="A52" t="s">
        <v>63</v>
      </c>
      <c r="B52" t="s">
        <v>70</v>
      </c>
      <c r="C52" s="3">
        <v>1811</v>
      </c>
    </row>
    <row r="53" spans="1:3" ht="12.75">
      <c r="A53" t="s">
        <v>64</v>
      </c>
      <c r="B53" t="s">
        <v>71</v>
      </c>
      <c r="C53" s="3">
        <v>5224</v>
      </c>
    </row>
    <row r="54" spans="1:3" ht="12.75">
      <c r="A54" t="s">
        <v>65</v>
      </c>
      <c r="B54" t="s">
        <v>67</v>
      </c>
      <c r="C54" s="4">
        <v>481</v>
      </c>
    </row>
    <row r="55" spans="1:9" ht="12.75">
      <c r="A55" s="93" t="s">
        <v>94</v>
      </c>
      <c r="B55" s="93"/>
      <c r="C55" s="4">
        <f aca="true" t="shared" si="0" ref="C55:H55">SUM(C4:C54)</f>
        <v>270296</v>
      </c>
      <c r="D55" s="4">
        <f t="shared" si="0"/>
        <v>0</v>
      </c>
      <c r="E55" s="4">
        <f t="shared" si="0"/>
        <v>0</v>
      </c>
      <c r="F55" s="4">
        <f t="shared" si="0"/>
        <v>0</v>
      </c>
      <c r="G55" s="4">
        <f t="shared" si="0"/>
        <v>0</v>
      </c>
      <c r="H55" s="4">
        <f t="shared" si="0"/>
        <v>0</v>
      </c>
      <c r="I55" s="5">
        <f>SUM(C55:H55)</f>
        <v>270296</v>
      </c>
    </row>
    <row r="56" spans="1:8" ht="12.75">
      <c r="A56" s="93" t="s">
        <v>100</v>
      </c>
      <c r="B56" s="93"/>
      <c r="C56" s="1">
        <f>C55/I55</f>
        <v>1</v>
      </c>
      <c r="D56" s="1"/>
      <c r="E56" s="1"/>
      <c r="F56" s="1"/>
      <c r="G56" s="1"/>
      <c r="H56" s="1"/>
    </row>
    <row r="58" ht="12.75">
      <c r="A58" s="2" t="s">
        <v>98</v>
      </c>
    </row>
    <row r="59" spans="1:3" ht="12.75">
      <c r="A59" t="s">
        <v>17</v>
      </c>
      <c r="B59" t="s">
        <v>66</v>
      </c>
      <c r="C59">
        <v>85.8</v>
      </c>
    </row>
    <row r="60" spans="1:3" ht="12.75">
      <c r="A60" t="s">
        <v>18</v>
      </c>
      <c r="B60" t="s">
        <v>67</v>
      </c>
      <c r="C60">
        <v>1.1</v>
      </c>
    </row>
    <row r="61" spans="1:3" ht="12.75">
      <c r="A61" t="s">
        <v>19</v>
      </c>
      <c r="B61" t="s">
        <v>68</v>
      </c>
      <c r="C61">
        <v>41.1</v>
      </c>
    </row>
    <row r="62" spans="1:3" ht="12.75">
      <c r="A62" t="s">
        <v>20</v>
      </c>
      <c r="B62" t="s">
        <v>66</v>
      </c>
      <c r="C62">
        <v>48.7</v>
      </c>
    </row>
    <row r="63" spans="1:3" ht="12.75">
      <c r="A63" t="s">
        <v>21</v>
      </c>
      <c r="B63" t="s">
        <v>67</v>
      </c>
      <c r="C63">
        <v>209.4</v>
      </c>
    </row>
    <row r="64" spans="1:3" ht="12.75">
      <c r="A64" t="s">
        <v>22</v>
      </c>
      <c r="B64" t="s">
        <v>68</v>
      </c>
      <c r="C64">
        <v>38.3</v>
      </c>
    </row>
    <row r="65" spans="1:3" ht="12.75">
      <c r="A65" t="s">
        <v>72</v>
      </c>
      <c r="B65" t="s">
        <v>69</v>
      </c>
      <c r="C65">
        <v>675.7</v>
      </c>
    </row>
    <row r="66" spans="1:3" ht="12.75">
      <c r="A66" t="s">
        <v>23</v>
      </c>
      <c r="B66" t="s">
        <v>70</v>
      </c>
      <c r="C66">
        <v>380.4</v>
      </c>
    </row>
    <row r="67" spans="1:3" ht="12.75">
      <c r="A67" t="s">
        <v>24</v>
      </c>
      <c r="B67" t="s">
        <v>70</v>
      </c>
      <c r="C67">
        <v>8519.9</v>
      </c>
    </row>
    <row r="68" spans="1:3" ht="12.75">
      <c r="A68" t="s">
        <v>25</v>
      </c>
      <c r="B68" t="s">
        <v>66</v>
      </c>
      <c r="C68">
        <v>276.2</v>
      </c>
    </row>
    <row r="69" spans="1:3" ht="12.75">
      <c r="A69" t="s">
        <v>26</v>
      </c>
      <c r="B69" t="s">
        <v>66</v>
      </c>
      <c r="C69">
        <v>131.9</v>
      </c>
    </row>
    <row r="70" spans="1:3" ht="12.75">
      <c r="A70" t="s">
        <v>27</v>
      </c>
      <c r="B70" t="s">
        <v>67</v>
      </c>
      <c r="C70">
        <v>185.7</v>
      </c>
    </row>
    <row r="71" spans="1:3" ht="12.75">
      <c r="A71" t="s">
        <v>28</v>
      </c>
      <c r="B71" t="s">
        <v>67</v>
      </c>
      <c r="C71">
        <v>14.8</v>
      </c>
    </row>
    <row r="72" spans="1:3" ht="12.75">
      <c r="A72" t="s">
        <v>29</v>
      </c>
      <c r="B72" t="s">
        <v>71</v>
      </c>
      <c r="C72">
        <v>216.7</v>
      </c>
    </row>
    <row r="73" spans="1:3" ht="12.75">
      <c r="A73" t="s">
        <v>30</v>
      </c>
      <c r="B73" t="s">
        <v>71</v>
      </c>
      <c r="C73">
        <v>164.5</v>
      </c>
    </row>
    <row r="74" spans="1:3" ht="12.75">
      <c r="A74" t="s">
        <v>31</v>
      </c>
      <c r="B74" t="s">
        <v>71</v>
      </c>
      <c r="C74">
        <v>51.2</v>
      </c>
    </row>
    <row r="75" spans="1:3" ht="12.75">
      <c r="A75" t="s">
        <v>32</v>
      </c>
      <c r="B75" t="s">
        <v>71</v>
      </c>
      <c r="C75">
        <v>32.1</v>
      </c>
    </row>
    <row r="76" spans="1:3" ht="12.75">
      <c r="A76" t="s">
        <v>33</v>
      </c>
      <c r="B76" t="s">
        <v>70</v>
      </c>
      <c r="C76">
        <v>99.1</v>
      </c>
    </row>
    <row r="77" spans="1:3" ht="12.75">
      <c r="A77" t="s">
        <v>34</v>
      </c>
      <c r="B77" t="s">
        <v>66</v>
      </c>
      <c r="C77">
        <v>100.3</v>
      </c>
    </row>
    <row r="78" spans="1:3" ht="12.75">
      <c r="A78" t="s">
        <v>35</v>
      </c>
      <c r="B78" t="s">
        <v>69</v>
      </c>
      <c r="C78">
        <v>40.3</v>
      </c>
    </row>
    <row r="79" spans="1:3" ht="12.75">
      <c r="A79" t="s">
        <v>36</v>
      </c>
      <c r="B79" t="s">
        <v>70</v>
      </c>
      <c r="C79">
        <v>525.3</v>
      </c>
    </row>
    <row r="80" spans="1:3" ht="12.75">
      <c r="A80" t="s">
        <v>37</v>
      </c>
      <c r="B80" t="s">
        <v>69</v>
      </c>
      <c r="C80">
        <v>784.3</v>
      </c>
    </row>
    <row r="81" spans="1:3" ht="12.75">
      <c r="A81" t="s">
        <v>38</v>
      </c>
      <c r="B81" t="s">
        <v>71</v>
      </c>
      <c r="C81">
        <v>172.8</v>
      </c>
    </row>
    <row r="82" spans="1:3" ht="12.75">
      <c r="A82" t="s">
        <v>39</v>
      </c>
      <c r="B82" t="s">
        <v>71</v>
      </c>
      <c r="C82">
        <v>59.4</v>
      </c>
    </row>
    <row r="83" spans="1:3" ht="12.75">
      <c r="A83" t="s">
        <v>40</v>
      </c>
      <c r="B83" t="s">
        <v>66</v>
      </c>
      <c r="C83">
        <v>58.7</v>
      </c>
    </row>
    <row r="84" spans="1:3" ht="12.75">
      <c r="A84" t="s">
        <v>41</v>
      </c>
      <c r="B84" t="s">
        <v>71</v>
      </c>
      <c r="C84">
        <v>78.9</v>
      </c>
    </row>
    <row r="85" spans="1:3" ht="12.75">
      <c r="A85" t="s">
        <v>42</v>
      </c>
      <c r="B85" t="s">
        <v>67</v>
      </c>
      <c r="C85">
        <v>6</v>
      </c>
    </row>
    <row r="86" spans="1:3" ht="12.75">
      <c r="A86" t="s">
        <v>43</v>
      </c>
      <c r="B86" t="s">
        <v>71</v>
      </c>
      <c r="C86">
        <v>21.6</v>
      </c>
    </row>
    <row r="87" spans="1:3" ht="12.75">
      <c r="A87" t="s">
        <v>44</v>
      </c>
      <c r="B87" t="s">
        <v>67</v>
      </c>
      <c r="C87">
        <v>15.9</v>
      </c>
    </row>
    <row r="88" spans="1:3" ht="12.75">
      <c r="A88" t="s">
        <v>45</v>
      </c>
      <c r="B88" t="s">
        <v>69</v>
      </c>
      <c r="C88">
        <v>132.1</v>
      </c>
    </row>
    <row r="89" spans="1:3" ht="12.75">
      <c r="A89" t="s">
        <v>46</v>
      </c>
      <c r="B89" t="s">
        <v>69</v>
      </c>
      <c r="C89">
        <v>1093.8</v>
      </c>
    </row>
    <row r="90" spans="1:3" ht="12.75">
      <c r="A90" t="s">
        <v>47</v>
      </c>
      <c r="B90" t="s">
        <v>68</v>
      </c>
      <c r="C90">
        <v>14.3</v>
      </c>
    </row>
    <row r="91" spans="1:3" ht="12.75">
      <c r="A91" t="s">
        <v>76</v>
      </c>
      <c r="B91" t="s">
        <v>69</v>
      </c>
      <c r="C91">
        <v>384.9</v>
      </c>
    </row>
    <row r="92" spans="1:3" ht="12.75">
      <c r="A92" t="s">
        <v>48</v>
      </c>
      <c r="B92" t="s">
        <v>70</v>
      </c>
      <c r="C92">
        <v>154.9</v>
      </c>
    </row>
    <row r="93" spans="1:3" ht="12.75">
      <c r="A93" t="s">
        <v>49</v>
      </c>
      <c r="B93" t="s">
        <v>71</v>
      </c>
      <c r="C93">
        <v>9.3</v>
      </c>
    </row>
    <row r="94" spans="1:3" ht="12.75">
      <c r="A94" t="s">
        <v>50</v>
      </c>
      <c r="B94" t="s">
        <v>71</v>
      </c>
      <c r="C94">
        <v>273.7</v>
      </c>
    </row>
    <row r="95" spans="1:3" ht="12.75">
      <c r="A95" t="s">
        <v>51</v>
      </c>
      <c r="B95" t="s">
        <v>68</v>
      </c>
      <c r="C95">
        <v>48.7</v>
      </c>
    </row>
    <row r="96" spans="1:3" ht="12.75">
      <c r="A96" t="s">
        <v>52</v>
      </c>
      <c r="B96" t="s">
        <v>67</v>
      </c>
      <c r="C96">
        <v>34.2</v>
      </c>
    </row>
    <row r="97" spans="1:3" ht="12.75">
      <c r="A97" t="s">
        <v>53</v>
      </c>
      <c r="B97" t="s">
        <v>69</v>
      </c>
      <c r="C97">
        <v>267.8</v>
      </c>
    </row>
    <row r="98" spans="1:3" ht="12.75">
      <c r="A98" t="s">
        <v>54</v>
      </c>
      <c r="B98" t="s">
        <v>69</v>
      </c>
      <c r="C98">
        <v>945.9</v>
      </c>
    </row>
    <row r="99" spans="1:3" ht="12.75">
      <c r="A99" t="s">
        <v>55</v>
      </c>
      <c r="B99" t="s">
        <v>66</v>
      </c>
      <c r="C99">
        <v>127.4</v>
      </c>
    </row>
    <row r="100" spans="1:3" ht="12.75">
      <c r="A100" t="s">
        <v>56</v>
      </c>
      <c r="B100" t="s">
        <v>71</v>
      </c>
      <c r="C100">
        <v>9.7</v>
      </c>
    </row>
    <row r="101" spans="1:3" ht="12.75">
      <c r="A101" t="s">
        <v>57</v>
      </c>
      <c r="B101" t="s">
        <v>70</v>
      </c>
      <c r="C101">
        <v>131.7</v>
      </c>
    </row>
    <row r="102" spans="1:3" ht="12.75">
      <c r="A102" t="s">
        <v>58</v>
      </c>
      <c r="B102" t="s">
        <v>68</v>
      </c>
      <c r="C102">
        <v>75.4</v>
      </c>
    </row>
    <row r="103" spans="1:3" ht="12.75">
      <c r="A103" t="s">
        <v>59</v>
      </c>
      <c r="B103" t="s">
        <v>68</v>
      </c>
      <c r="C103">
        <v>25.6</v>
      </c>
    </row>
    <row r="104" spans="1:3" ht="12.75">
      <c r="A104" t="s">
        <v>60</v>
      </c>
      <c r="B104" t="s">
        <v>69</v>
      </c>
      <c r="C104">
        <v>63.9</v>
      </c>
    </row>
    <row r="105" spans="1:3" ht="12.75">
      <c r="A105" t="s">
        <v>61</v>
      </c>
      <c r="B105" t="s">
        <v>70</v>
      </c>
      <c r="C105">
        <v>171.5</v>
      </c>
    </row>
    <row r="106" spans="1:3" ht="12.75">
      <c r="A106" t="s">
        <v>62</v>
      </c>
      <c r="B106" t="s">
        <v>67</v>
      </c>
      <c r="C106">
        <v>85.4</v>
      </c>
    </row>
    <row r="107" spans="1:3" ht="12.75">
      <c r="A107" t="s">
        <v>63</v>
      </c>
      <c r="B107" t="s">
        <v>70</v>
      </c>
      <c r="C107">
        <v>75.2</v>
      </c>
    </row>
    <row r="108" spans="1:3" ht="12.75">
      <c r="A108" t="s">
        <v>64</v>
      </c>
      <c r="B108" t="s">
        <v>71</v>
      </c>
      <c r="C108">
        <v>96.2</v>
      </c>
    </row>
    <row r="109" spans="1:3" ht="12.75">
      <c r="A109" t="s">
        <v>65</v>
      </c>
      <c r="B109" t="s">
        <v>67</v>
      </c>
      <c r="C109" s="6">
        <v>5</v>
      </c>
    </row>
    <row r="110" spans="1:9" ht="12.75">
      <c r="A110" s="93" t="s">
        <v>94</v>
      </c>
      <c r="B110" s="93"/>
      <c r="C110" s="4">
        <f aca="true" t="shared" si="1" ref="C110:H110">SUM(C59:C109)</f>
        <v>17262.700000000004</v>
      </c>
      <c r="D110" s="4">
        <f t="shared" si="1"/>
        <v>0</v>
      </c>
      <c r="E110" s="4">
        <f t="shared" si="1"/>
        <v>0</v>
      </c>
      <c r="F110" s="4">
        <f t="shared" si="1"/>
        <v>0</v>
      </c>
      <c r="G110" s="4">
        <f t="shared" si="1"/>
        <v>0</v>
      </c>
      <c r="H110" s="4">
        <f t="shared" si="1"/>
        <v>0</v>
      </c>
      <c r="I110" s="5">
        <f>SUM(C110:H110)</f>
        <v>17262.700000000004</v>
      </c>
    </row>
    <row r="111" spans="1:8" ht="12.75">
      <c r="A111" s="93" t="s">
        <v>100</v>
      </c>
      <c r="B111" s="93"/>
      <c r="C111" s="1">
        <f>C110/I110</f>
        <v>1</v>
      </c>
      <c r="D111" s="1"/>
      <c r="E111" s="1"/>
      <c r="F111" s="1"/>
      <c r="G111" s="1"/>
      <c r="H111" s="1"/>
    </row>
    <row r="113" ht="12.75">
      <c r="A113" s="2" t="s">
        <v>97</v>
      </c>
    </row>
    <row r="114" spans="1:3" ht="12.75">
      <c r="A114" t="s">
        <v>17</v>
      </c>
      <c r="B114" t="s">
        <v>66</v>
      </c>
      <c r="C114" s="3">
        <v>2440</v>
      </c>
    </row>
    <row r="115" spans="1:3" ht="12.75">
      <c r="A115" t="s">
        <v>18</v>
      </c>
      <c r="B115" t="s">
        <v>67</v>
      </c>
      <c r="C115" s="3">
        <v>371</v>
      </c>
    </row>
    <row r="116" spans="1:3" ht="12.75">
      <c r="A116" t="s">
        <v>19</v>
      </c>
      <c r="B116" t="s">
        <v>68</v>
      </c>
      <c r="C116" s="3">
        <v>3207</v>
      </c>
    </row>
    <row r="117" spans="1:3" ht="12.75">
      <c r="A117" t="s">
        <v>20</v>
      </c>
      <c r="B117" t="s">
        <v>66</v>
      </c>
      <c r="C117" s="3">
        <v>1258</v>
      </c>
    </row>
    <row r="118" spans="1:3" ht="12.75">
      <c r="A118" t="s">
        <v>21</v>
      </c>
      <c r="B118" t="s">
        <v>67</v>
      </c>
      <c r="C118" s="3">
        <v>25571</v>
      </c>
    </row>
    <row r="119" spans="1:3" ht="12.75">
      <c r="A119" t="s">
        <v>22</v>
      </c>
      <c r="B119" t="s">
        <v>68</v>
      </c>
      <c r="C119" s="3">
        <v>2716</v>
      </c>
    </row>
    <row r="120" spans="1:3" ht="12.75">
      <c r="A120" t="s">
        <v>72</v>
      </c>
      <c r="B120" t="s">
        <v>69</v>
      </c>
      <c r="C120" s="3">
        <v>2602</v>
      </c>
    </row>
    <row r="121" spans="1:3" ht="12.75">
      <c r="A121" t="s">
        <v>23</v>
      </c>
      <c r="B121" t="s">
        <v>70</v>
      </c>
      <c r="C121" s="3">
        <v>487</v>
      </c>
    </row>
    <row r="122" spans="1:3" ht="12.75">
      <c r="A122" t="s">
        <v>24</v>
      </c>
      <c r="B122" t="s">
        <v>70</v>
      </c>
      <c r="C122" s="3">
        <v>607</v>
      </c>
    </row>
    <row r="123" spans="1:3" ht="12.75">
      <c r="A123" t="s">
        <v>25</v>
      </c>
      <c r="B123" t="s">
        <v>66</v>
      </c>
      <c r="C123" s="3">
        <v>10967</v>
      </c>
    </row>
    <row r="124" spans="1:3" ht="12.75">
      <c r="A124" t="s">
        <v>26</v>
      </c>
      <c r="B124" t="s">
        <v>66</v>
      </c>
      <c r="C124" s="3">
        <v>4097</v>
      </c>
    </row>
    <row r="125" spans="1:3" ht="12.75">
      <c r="A125" t="s">
        <v>27</v>
      </c>
      <c r="B125" t="s">
        <v>67</v>
      </c>
      <c r="C125" s="3">
        <v>986</v>
      </c>
    </row>
    <row r="126" spans="1:3" ht="12.75">
      <c r="A126" t="s">
        <v>28</v>
      </c>
      <c r="B126" t="s">
        <v>67</v>
      </c>
      <c r="C126" s="3">
        <v>578</v>
      </c>
    </row>
    <row r="127" spans="1:3" ht="12.75">
      <c r="A127" t="s">
        <v>29</v>
      </c>
      <c r="B127" t="s">
        <v>71</v>
      </c>
      <c r="C127" s="3">
        <v>9669</v>
      </c>
    </row>
    <row r="128" spans="1:3" ht="12.75">
      <c r="A128" t="s">
        <v>30</v>
      </c>
      <c r="B128" t="s">
        <v>71</v>
      </c>
      <c r="C128" s="3">
        <v>3598</v>
      </c>
    </row>
    <row r="129" spans="1:3" ht="12.75">
      <c r="A129" t="s">
        <v>31</v>
      </c>
      <c r="B129" t="s">
        <v>71</v>
      </c>
      <c r="C129" s="3">
        <v>1683</v>
      </c>
    </row>
    <row r="130" spans="1:3" ht="12.75">
      <c r="A130" t="s">
        <v>32</v>
      </c>
      <c r="B130" t="s">
        <v>71</v>
      </c>
      <c r="C130" s="3">
        <v>1713</v>
      </c>
    </row>
    <row r="131" spans="1:3" ht="12.75">
      <c r="A131" t="s">
        <v>33</v>
      </c>
      <c r="B131" t="s">
        <v>70</v>
      </c>
      <c r="C131" s="3">
        <v>1910</v>
      </c>
    </row>
    <row r="132" spans="1:3" ht="12.75">
      <c r="A132" t="s">
        <v>34</v>
      </c>
      <c r="B132" t="s">
        <v>66</v>
      </c>
      <c r="C132" s="3">
        <v>2872</v>
      </c>
    </row>
    <row r="133" spans="1:3" ht="12.75">
      <c r="A133" t="s">
        <v>35</v>
      </c>
      <c r="B133" t="s">
        <v>69</v>
      </c>
      <c r="C133" s="3">
        <v>548</v>
      </c>
    </row>
    <row r="134" spans="1:3" ht="12.75">
      <c r="A134" t="s">
        <v>36</v>
      </c>
      <c r="B134" t="s">
        <v>70</v>
      </c>
      <c r="C134" s="3">
        <v>3888</v>
      </c>
    </row>
    <row r="135" spans="1:3" ht="12.75">
      <c r="A135" t="s">
        <v>37</v>
      </c>
      <c r="B135" t="s">
        <v>69</v>
      </c>
      <c r="C135" s="3">
        <v>5070</v>
      </c>
    </row>
    <row r="136" spans="1:3" ht="12.75">
      <c r="A136" t="s">
        <v>38</v>
      </c>
      <c r="B136" t="s">
        <v>71</v>
      </c>
      <c r="C136" s="3">
        <v>6556</v>
      </c>
    </row>
    <row r="137" spans="1:3" ht="12.75">
      <c r="A137" t="s">
        <v>39</v>
      </c>
      <c r="B137" t="s">
        <v>71</v>
      </c>
      <c r="C137" s="3">
        <v>3056</v>
      </c>
    </row>
    <row r="138" spans="1:3" ht="12.75">
      <c r="A138" t="s">
        <v>40</v>
      </c>
      <c r="B138" t="s">
        <v>66</v>
      </c>
      <c r="C138" s="3">
        <v>1211</v>
      </c>
    </row>
    <row r="139" spans="1:3" ht="12.75">
      <c r="A139" t="s">
        <v>41</v>
      </c>
      <c r="B139" t="s">
        <v>71</v>
      </c>
      <c r="C139" s="3">
        <v>3516</v>
      </c>
    </row>
    <row r="140" spans="1:3" ht="12.75">
      <c r="A140" t="s">
        <v>42</v>
      </c>
      <c r="B140" t="s">
        <v>67</v>
      </c>
      <c r="C140" s="3">
        <v>420</v>
      </c>
    </row>
    <row r="141" spans="1:3" ht="12.75">
      <c r="A141" t="s">
        <v>43</v>
      </c>
      <c r="B141" t="s">
        <v>71</v>
      </c>
      <c r="C141" s="3">
        <v>1044</v>
      </c>
    </row>
    <row r="142" spans="1:3" ht="12.75">
      <c r="A142" t="s">
        <v>44</v>
      </c>
      <c r="B142" t="s">
        <v>67</v>
      </c>
      <c r="C142" s="3">
        <v>1061</v>
      </c>
    </row>
    <row r="143" spans="1:3" ht="12.75">
      <c r="A143" t="s">
        <v>45</v>
      </c>
      <c r="B143" t="s">
        <v>69</v>
      </c>
      <c r="C143" s="3">
        <v>566</v>
      </c>
    </row>
    <row r="144" spans="1:3" ht="12.75">
      <c r="A144" t="s">
        <v>46</v>
      </c>
      <c r="B144" t="s">
        <v>69</v>
      </c>
      <c r="C144" s="3">
        <v>6910</v>
      </c>
    </row>
    <row r="145" spans="1:3" ht="12.75">
      <c r="A145" t="s">
        <v>47</v>
      </c>
      <c r="B145" t="s">
        <v>68</v>
      </c>
      <c r="C145" s="3">
        <v>1106</v>
      </c>
    </row>
    <row r="146" spans="1:3" ht="12.75">
      <c r="A146" t="s">
        <v>76</v>
      </c>
      <c r="B146" t="s">
        <v>69</v>
      </c>
      <c r="C146" s="3">
        <v>15164</v>
      </c>
    </row>
    <row r="147" spans="1:3" ht="12.75">
      <c r="A147" t="s">
        <v>48</v>
      </c>
      <c r="B147" t="s">
        <v>70</v>
      </c>
      <c r="C147" s="3">
        <v>3338</v>
      </c>
    </row>
    <row r="148" spans="1:3" ht="12.75">
      <c r="A148" t="s">
        <v>49</v>
      </c>
      <c r="B148" t="s">
        <v>71</v>
      </c>
      <c r="C148" s="3">
        <v>340</v>
      </c>
    </row>
    <row r="149" spans="1:3" ht="12.75">
      <c r="A149" t="s">
        <v>50</v>
      </c>
      <c r="B149" t="s">
        <v>71</v>
      </c>
      <c r="C149" s="3">
        <v>8039</v>
      </c>
    </row>
    <row r="150" spans="1:3" ht="12.75">
      <c r="A150" t="s">
        <v>51</v>
      </c>
      <c r="B150" t="s">
        <v>68</v>
      </c>
      <c r="C150" s="3">
        <v>2130</v>
      </c>
    </row>
    <row r="151" spans="1:3" ht="12.75">
      <c r="A151" t="s">
        <v>52</v>
      </c>
      <c r="B151" t="s">
        <v>67</v>
      </c>
      <c r="C151" s="3">
        <v>2003</v>
      </c>
    </row>
    <row r="152" spans="1:3" ht="12.75">
      <c r="A152" t="s">
        <v>53</v>
      </c>
      <c r="B152" t="s">
        <v>69</v>
      </c>
      <c r="C152" s="3">
        <v>8188</v>
      </c>
    </row>
    <row r="153" spans="1:3" ht="12.75">
      <c r="A153" t="s">
        <v>54</v>
      </c>
      <c r="B153" t="s">
        <v>69</v>
      </c>
      <c r="C153" s="3">
        <v>863</v>
      </c>
    </row>
    <row r="154" spans="1:3" ht="12.75">
      <c r="A154" t="s">
        <v>55</v>
      </c>
      <c r="B154" t="s">
        <v>66</v>
      </c>
      <c r="C154" s="3">
        <v>1905</v>
      </c>
    </row>
    <row r="155" spans="1:3" ht="12.75">
      <c r="A155" t="s">
        <v>56</v>
      </c>
      <c r="B155" t="s">
        <v>71</v>
      </c>
      <c r="C155" s="3">
        <v>348</v>
      </c>
    </row>
    <row r="156" spans="1:3" ht="12.75">
      <c r="A156" t="s">
        <v>57</v>
      </c>
      <c r="B156" t="s">
        <v>70</v>
      </c>
      <c r="C156" s="3">
        <v>2970</v>
      </c>
    </row>
    <row r="157" spans="1:3" ht="12.75">
      <c r="A157" t="s">
        <v>58</v>
      </c>
      <c r="B157" t="s">
        <v>68</v>
      </c>
      <c r="C157" s="3">
        <v>13635</v>
      </c>
    </row>
    <row r="158" spans="1:3" ht="12.75">
      <c r="A158" t="s">
        <v>59</v>
      </c>
      <c r="B158" t="s">
        <v>68</v>
      </c>
      <c r="C158" s="3">
        <v>1499</v>
      </c>
    </row>
    <row r="159" spans="1:3" ht="12.75">
      <c r="A159" t="s">
        <v>60</v>
      </c>
      <c r="B159" t="s">
        <v>69</v>
      </c>
      <c r="C159" s="3">
        <v>181</v>
      </c>
    </row>
    <row r="160" spans="1:3" ht="12.75">
      <c r="A160" t="s">
        <v>61</v>
      </c>
      <c r="B160" t="s">
        <v>70</v>
      </c>
      <c r="C160" s="3">
        <v>4293</v>
      </c>
    </row>
    <row r="161" spans="1:3" ht="12.75">
      <c r="A161" t="s">
        <v>62</v>
      </c>
      <c r="B161" t="s">
        <v>67</v>
      </c>
      <c r="C161" s="3">
        <v>3718</v>
      </c>
    </row>
    <row r="162" spans="1:3" ht="12.75">
      <c r="A162" t="s">
        <v>63</v>
      </c>
      <c r="B162" t="s">
        <v>70</v>
      </c>
      <c r="C162" s="3">
        <v>648</v>
      </c>
    </row>
    <row r="163" spans="1:3" ht="12.75">
      <c r="A163" t="s">
        <v>64</v>
      </c>
      <c r="B163" t="s">
        <v>71</v>
      </c>
      <c r="C163" s="3">
        <v>3212</v>
      </c>
    </row>
    <row r="164" spans="1:3" ht="12.75">
      <c r="A164" t="s">
        <v>65</v>
      </c>
      <c r="B164" t="s">
        <v>67</v>
      </c>
      <c r="C164" s="4">
        <v>295</v>
      </c>
    </row>
    <row r="165" spans="1:9" ht="12.75">
      <c r="A165" s="93" t="s">
        <v>94</v>
      </c>
      <c r="B165" s="93"/>
      <c r="C165" s="4">
        <f aca="true" t="shared" si="2" ref="C165:H165">SUM(C114:C164)</f>
        <v>185053</v>
      </c>
      <c r="D165" s="4">
        <f t="shared" si="2"/>
        <v>0</v>
      </c>
      <c r="E165" s="4">
        <f t="shared" si="2"/>
        <v>0</v>
      </c>
      <c r="F165" s="4">
        <f t="shared" si="2"/>
        <v>0</v>
      </c>
      <c r="G165" s="4">
        <f t="shared" si="2"/>
        <v>0</v>
      </c>
      <c r="H165" s="4">
        <f t="shared" si="2"/>
        <v>0</v>
      </c>
      <c r="I165" s="5">
        <f>SUM(C165:H165)</f>
        <v>185053</v>
      </c>
    </row>
    <row r="166" spans="1:8" ht="12.75">
      <c r="A166" s="93" t="s">
        <v>100</v>
      </c>
      <c r="B166" s="93"/>
      <c r="C166" s="1">
        <f>C165/I165</f>
        <v>1</v>
      </c>
      <c r="D166" s="1"/>
      <c r="E166" s="1"/>
      <c r="F166" s="1"/>
      <c r="G166" s="1"/>
      <c r="H166" s="1"/>
    </row>
    <row r="168" ht="12.75">
      <c r="A168" s="2" t="s">
        <v>95</v>
      </c>
    </row>
    <row r="169" spans="1:3" ht="12.75">
      <c r="A169" t="s">
        <v>17</v>
      </c>
      <c r="B169" t="s">
        <v>66</v>
      </c>
      <c r="C169" s="3">
        <v>1601</v>
      </c>
    </row>
    <row r="170" spans="1:3" ht="12.75">
      <c r="A170" t="s">
        <v>18</v>
      </c>
      <c r="B170" t="s">
        <v>67</v>
      </c>
      <c r="C170" s="3">
        <v>179</v>
      </c>
    </row>
    <row r="171" spans="1:3" ht="12.75">
      <c r="A171" t="s">
        <v>19</v>
      </c>
      <c r="B171" t="s">
        <v>68</v>
      </c>
      <c r="C171" s="3">
        <v>458</v>
      </c>
    </row>
    <row r="172" spans="1:3" ht="12.75">
      <c r="A172" t="s">
        <v>20</v>
      </c>
      <c r="B172" t="s">
        <v>66</v>
      </c>
      <c r="C172" s="3">
        <v>1093</v>
      </c>
    </row>
    <row r="173" spans="1:3" ht="12.75">
      <c r="A173" t="s">
        <v>21</v>
      </c>
      <c r="B173" t="s">
        <v>67</v>
      </c>
      <c r="C173" s="3">
        <v>2189</v>
      </c>
    </row>
    <row r="174" spans="1:3" ht="12.75">
      <c r="A174" t="s">
        <v>22</v>
      </c>
      <c r="B174" t="s">
        <v>68</v>
      </c>
      <c r="C174" s="3">
        <v>579</v>
      </c>
    </row>
    <row r="175" spans="1:3" ht="12.75">
      <c r="A175" t="s">
        <v>72</v>
      </c>
      <c r="B175" t="s">
        <v>69</v>
      </c>
      <c r="C175" s="3">
        <v>686</v>
      </c>
    </row>
    <row r="176" spans="1:3" ht="12.75">
      <c r="A176" t="s">
        <v>23</v>
      </c>
      <c r="B176" t="s">
        <v>70</v>
      </c>
      <c r="C176" s="3">
        <v>180</v>
      </c>
    </row>
    <row r="177" spans="1:3" ht="12.75">
      <c r="A177" t="s">
        <v>24</v>
      </c>
      <c r="B177" t="s">
        <v>70</v>
      </c>
      <c r="C177" s="3">
        <v>0</v>
      </c>
    </row>
    <row r="178" spans="1:3" ht="12.75">
      <c r="A178" t="s">
        <v>25</v>
      </c>
      <c r="B178" t="s">
        <v>66</v>
      </c>
      <c r="C178" s="3">
        <v>1971</v>
      </c>
    </row>
    <row r="179" spans="1:3" ht="12.75">
      <c r="A179" t="s">
        <v>26</v>
      </c>
      <c r="B179" t="s">
        <v>66</v>
      </c>
      <c r="C179" s="3">
        <v>2381</v>
      </c>
    </row>
    <row r="180" spans="1:3" ht="12.75">
      <c r="A180" t="s">
        <v>27</v>
      </c>
      <c r="B180" t="s">
        <v>67</v>
      </c>
      <c r="C180" s="3">
        <v>122</v>
      </c>
    </row>
    <row r="181" spans="1:3" ht="12.75">
      <c r="A181" t="s">
        <v>28</v>
      </c>
      <c r="B181" t="s">
        <v>67</v>
      </c>
      <c r="C181" s="3">
        <v>429</v>
      </c>
    </row>
    <row r="182" spans="1:3" ht="12.75">
      <c r="A182" t="s">
        <v>29</v>
      </c>
      <c r="B182" t="s">
        <v>71</v>
      </c>
      <c r="C182" s="3">
        <v>1762</v>
      </c>
    </row>
    <row r="183" spans="1:3" ht="12.75">
      <c r="A183" t="s">
        <v>30</v>
      </c>
      <c r="B183" t="s">
        <v>71</v>
      </c>
      <c r="C183" s="3">
        <v>1946</v>
      </c>
    </row>
    <row r="184" spans="1:3" ht="12.75">
      <c r="A184" t="s">
        <v>31</v>
      </c>
      <c r="B184" t="s">
        <v>71</v>
      </c>
      <c r="C184" s="3">
        <v>1094</v>
      </c>
    </row>
    <row r="185" spans="1:3" ht="12.75">
      <c r="A185" t="s">
        <v>32</v>
      </c>
      <c r="B185" t="s">
        <v>71</v>
      </c>
      <c r="C185" s="3">
        <v>765</v>
      </c>
    </row>
    <row r="186" spans="1:3" ht="12.75">
      <c r="A186" t="s">
        <v>33</v>
      </c>
      <c r="B186" t="s">
        <v>70</v>
      </c>
      <c r="C186" s="3">
        <v>1775</v>
      </c>
    </row>
    <row r="187" spans="1:3" ht="12.75">
      <c r="A187" t="s">
        <v>34</v>
      </c>
      <c r="B187" t="s">
        <v>66</v>
      </c>
      <c r="C187" s="3">
        <v>1348</v>
      </c>
    </row>
    <row r="188" spans="1:3" ht="12.75">
      <c r="A188" t="s">
        <v>35</v>
      </c>
      <c r="B188" t="s">
        <v>69</v>
      </c>
      <c r="C188" s="3">
        <v>680</v>
      </c>
    </row>
    <row r="189" spans="1:3" ht="12.75">
      <c r="A189" t="s">
        <v>36</v>
      </c>
      <c r="B189" t="s">
        <v>70</v>
      </c>
      <c r="C189" s="3">
        <v>893</v>
      </c>
    </row>
    <row r="190" spans="1:3" ht="12.75">
      <c r="A190" t="s">
        <v>37</v>
      </c>
      <c r="B190" t="s">
        <v>69</v>
      </c>
      <c r="C190" s="3">
        <v>947</v>
      </c>
    </row>
    <row r="191" spans="1:3" ht="12.75">
      <c r="A191" t="s">
        <v>38</v>
      </c>
      <c r="B191" t="s">
        <v>71</v>
      </c>
      <c r="C191" s="3">
        <v>2739</v>
      </c>
    </row>
    <row r="192" spans="1:3" ht="12.75">
      <c r="A192" t="s">
        <v>39</v>
      </c>
      <c r="B192" t="s">
        <v>71</v>
      </c>
      <c r="C192" s="3">
        <v>1319</v>
      </c>
    </row>
    <row r="193" spans="1:3" ht="12.75">
      <c r="A193" t="s">
        <v>40</v>
      </c>
      <c r="B193" t="s">
        <v>66</v>
      </c>
      <c r="C193" s="3">
        <v>1362</v>
      </c>
    </row>
    <row r="194" spans="1:3" ht="12.75">
      <c r="A194" t="s">
        <v>41</v>
      </c>
      <c r="B194" t="s">
        <v>71</v>
      </c>
      <c r="C194" s="3">
        <v>1601</v>
      </c>
    </row>
    <row r="195" spans="1:3" ht="12.75">
      <c r="A195" t="s">
        <v>42</v>
      </c>
      <c r="B195" t="s">
        <v>67</v>
      </c>
      <c r="C195" s="3">
        <v>379</v>
      </c>
    </row>
    <row r="196" spans="1:3" ht="12.75">
      <c r="A196" t="s">
        <v>43</v>
      </c>
      <c r="B196" t="s">
        <v>71</v>
      </c>
      <c r="C196" s="3">
        <v>534</v>
      </c>
    </row>
    <row r="197" spans="1:3" ht="12.75">
      <c r="A197" t="s">
        <v>44</v>
      </c>
      <c r="B197" t="s">
        <v>67</v>
      </c>
      <c r="C197" s="3">
        <v>140</v>
      </c>
    </row>
    <row r="198" spans="1:3" ht="12.75">
      <c r="A198" t="s">
        <v>45</v>
      </c>
      <c r="B198" t="s">
        <v>69</v>
      </c>
      <c r="C198" s="3">
        <v>544</v>
      </c>
    </row>
    <row r="199" spans="1:3" ht="12.75">
      <c r="A199" t="s">
        <v>46</v>
      </c>
      <c r="B199" t="s">
        <v>69</v>
      </c>
      <c r="C199" s="3">
        <v>820</v>
      </c>
    </row>
    <row r="200" spans="1:3" ht="12.75">
      <c r="A200" t="s">
        <v>47</v>
      </c>
      <c r="B200" t="s">
        <v>68</v>
      </c>
      <c r="C200" s="3">
        <v>409</v>
      </c>
    </row>
    <row r="201" spans="1:3" ht="12.75">
      <c r="A201" t="s">
        <v>76</v>
      </c>
      <c r="B201" t="s">
        <v>69</v>
      </c>
      <c r="C201" s="3">
        <v>2826</v>
      </c>
    </row>
    <row r="202" spans="1:3" ht="12.75">
      <c r="A202" t="s">
        <v>48</v>
      </c>
      <c r="B202" t="s">
        <v>70</v>
      </c>
      <c r="C202" s="3">
        <v>3291</v>
      </c>
    </row>
    <row r="203" spans="1:3" ht="12.75">
      <c r="A203" t="s">
        <v>49</v>
      </c>
      <c r="B203" t="s">
        <v>71</v>
      </c>
      <c r="C203" s="3">
        <v>298</v>
      </c>
    </row>
    <row r="204" spans="1:3" ht="12.75">
      <c r="A204" t="s">
        <v>50</v>
      </c>
      <c r="B204" t="s">
        <v>71</v>
      </c>
      <c r="C204" s="3">
        <v>2808</v>
      </c>
    </row>
    <row r="205" spans="1:3" ht="12.75">
      <c r="A205" t="s">
        <v>51</v>
      </c>
      <c r="B205" t="s">
        <v>68</v>
      </c>
      <c r="C205" s="3">
        <v>1015</v>
      </c>
    </row>
    <row r="206" spans="1:3" ht="12.75">
      <c r="A206" t="s">
        <v>52</v>
      </c>
      <c r="B206" t="s">
        <v>67</v>
      </c>
      <c r="C206" s="3">
        <v>839</v>
      </c>
    </row>
    <row r="207" spans="1:3" ht="12.75">
      <c r="A207" t="s">
        <v>53</v>
      </c>
      <c r="B207" t="s">
        <v>69</v>
      </c>
      <c r="C207" s="3">
        <v>3693</v>
      </c>
    </row>
    <row r="208" spans="1:3" ht="12.75">
      <c r="A208" t="s">
        <v>54</v>
      </c>
      <c r="B208" t="s">
        <v>69</v>
      </c>
      <c r="C208" s="3">
        <v>140</v>
      </c>
    </row>
    <row r="209" spans="1:3" ht="12.75">
      <c r="A209" t="s">
        <v>55</v>
      </c>
      <c r="B209" t="s">
        <v>66</v>
      </c>
      <c r="C209" s="3">
        <v>1581</v>
      </c>
    </row>
    <row r="210" spans="1:3" ht="12.75">
      <c r="A210" t="s">
        <v>56</v>
      </c>
      <c r="B210" t="s">
        <v>71</v>
      </c>
      <c r="C210" s="3">
        <v>348</v>
      </c>
    </row>
    <row r="211" spans="1:3" ht="12.75">
      <c r="A211" t="s">
        <v>57</v>
      </c>
      <c r="B211" t="s">
        <v>70</v>
      </c>
      <c r="C211" s="3">
        <v>1907</v>
      </c>
    </row>
    <row r="212" spans="1:3" ht="12.75">
      <c r="A212" t="s">
        <v>58</v>
      </c>
      <c r="B212" t="s">
        <v>68</v>
      </c>
      <c r="C212" s="3">
        <v>3352</v>
      </c>
    </row>
    <row r="213" spans="1:3" ht="12.75">
      <c r="A213" t="s">
        <v>59</v>
      </c>
      <c r="B213" t="s">
        <v>68</v>
      </c>
      <c r="C213" s="3">
        <v>224</v>
      </c>
    </row>
    <row r="214" spans="1:3" ht="12.75">
      <c r="A214" t="s">
        <v>60</v>
      </c>
      <c r="B214" t="s">
        <v>69</v>
      </c>
      <c r="C214" s="3">
        <v>382</v>
      </c>
    </row>
    <row r="215" spans="1:3" ht="12.75">
      <c r="A215" t="s">
        <v>61</v>
      </c>
      <c r="B215" t="s">
        <v>70</v>
      </c>
      <c r="C215" s="3">
        <v>1894</v>
      </c>
    </row>
    <row r="216" spans="1:3" ht="12.75">
      <c r="A216" t="s">
        <v>62</v>
      </c>
      <c r="B216" t="s">
        <v>67</v>
      </c>
      <c r="C216" s="3">
        <v>1149</v>
      </c>
    </row>
    <row r="217" spans="1:3" ht="12.75">
      <c r="A217" t="s">
        <v>63</v>
      </c>
      <c r="B217" t="s">
        <v>70</v>
      </c>
      <c r="C217" s="3">
        <v>1145</v>
      </c>
    </row>
    <row r="218" spans="1:3" ht="12.75">
      <c r="A218" t="s">
        <v>64</v>
      </c>
      <c r="B218" t="s">
        <v>71</v>
      </c>
      <c r="C218" s="3">
        <v>1680</v>
      </c>
    </row>
    <row r="219" spans="1:3" ht="12.75">
      <c r="A219" t="s">
        <v>65</v>
      </c>
      <c r="B219" t="s">
        <v>67</v>
      </c>
      <c r="C219" s="4">
        <v>159</v>
      </c>
    </row>
    <row r="220" spans="1:9" ht="12.75">
      <c r="A220" s="93" t="s">
        <v>94</v>
      </c>
      <c r="B220" s="93"/>
      <c r="C220" s="4">
        <f aca="true" t="shared" si="3" ref="C220:H220">SUM(C169:C219)</f>
        <v>61656</v>
      </c>
      <c r="D220" s="4">
        <f t="shared" si="3"/>
        <v>0</v>
      </c>
      <c r="E220" s="4">
        <f t="shared" si="3"/>
        <v>0</v>
      </c>
      <c r="F220" s="4">
        <f t="shared" si="3"/>
        <v>0</v>
      </c>
      <c r="G220" s="4">
        <f t="shared" si="3"/>
        <v>0</v>
      </c>
      <c r="H220" s="4">
        <f t="shared" si="3"/>
        <v>0</v>
      </c>
      <c r="I220" s="5">
        <f>SUM(C220:H220)</f>
        <v>61656</v>
      </c>
    </row>
    <row r="221" spans="1:8" ht="12.75">
      <c r="A221" s="93" t="s">
        <v>100</v>
      </c>
      <c r="B221" s="93"/>
      <c r="C221" s="1">
        <f>C220/I220</f>
        <v>1</v>
      </c>
      <c r="D221" s="1"/>
      <c r="E221" s="1"/>
      <c r="F221" s="1"/>
      <c r="G221" s="1"/>
      <c r="H221" s="1"/>
    </row>
    <row r="223" ht="12.75">
      <c r="A223" s="2" t="s">
        <v>96</v>
      </c>
    </row>
    <row r="224" spans="1:3" ht="12.75">
      <c r="A224" t="s">
        <v>17</v>
      </c>
      <c r="B224" t="s">
        <v>66</v>
      </c>
      <c r="C224" s="7">
        <v>18</v>
      </c>
    </row>
    <row r="225" spans="1:3" ht="12.75">
      <c r="A225" t="s">
        <v>18</v>
      </c>
      <c r="B225" t="s">
        <v>67</v>
      </c>
      <c r="C225" s="7">
        <v>93</v>
      </c>
    </row>
    <row r="226" spans="1:3" ht="12.75">
      <c r="A226" t="s">
        <v>19</v>
      </c>
      <c r="B226" t="s">
        <v>68</v>
      </c>
      <c r="C226" s="7">
        <v>262</v>
      </c>
    </row>
    <row r="227" spans="1:3" ht="12.75">
      <c r="A227" t="s">
        <v>20</v>
      </c>
      <c r="B227" t="s">
        <v>66</v>
      </c>
      <c r="C227" s="7">
        <v>15</v>
      </c>
    </row>
    <row r="228" spans="1:3" ht="12.75">
      <c r="A228" t="s">
        <v>21</v>
      </c>
      <c r="B228" t="s">
        <v>67</v>
      </c>
      <c r="C228" s="7">
        <v>292</v>
      </c>
    </row>
    <row r="229" spans="1:3" ht="12.75">
      <c r="A229" t="s">
        <v>22</v>
      </c>
      <c r="B229" t="s">
        <v>68</v>
      </c>
      <c r="C229" s="7">
        <v>41</v>
      </c>
    </row>
    <row r="230" spans="1:3" ht="12.75">
      <c r="A230" t="s">
        <v>72</v>
      </c>
      <c r="B230" t="s">
        <v>69</v>
      </c>
      <c r="C230" s="7">
        <v>8</v>
      </c>
    </row>
    <row r="231" spans="1:3" ht="12.75">
      <c r="A231" t="s">
        <v>23</v>
      </c>
      <c r="B231" t="s">
        <v>70</v>
      </c>
      <c r="C231" s="7">
        <v>2</v>
      </c>
    </row>
    <row r="232" spans="1:3" ht="12.75">
      <c r="A232" t="s">
        <v>24</v>
      </c>
      <c r="B232" t="s">
        <v>70</v>
      </c>
      <c r="C232" s="7">
        <v>0</v>
      </c>
    </row>
    <row r="233" spans="1:3" ht="12.75">
      <c r="A233" t="s">
        <v>25</v>
      </c>
      <c r="B233" t="s">
        <v>66</v>
      </c>
      <c r="C233" s="7">
        <v>51</v>
      </c>
    </row>
    <row r="234" spans="1:3" ht="12.75">
      <c r="A234" t="s">
        <v>26</v>
      </c>
      <c r="B234" t="s">
        <v>66</v>
      </c>
      <c r="C234" s="7">
        <v>17</v>
      </c>
    </row>
    <row r="235" spans="1:3" ht="12.75">
      <c r="A235" t="s">
        <v>27</v>
      </c>
      <c r="B235" t="s">
        <v>67</v>
      </c>
      <c r="C235" s="7">
        <v>6</v>
      </c>
    </row>
    <row r="236" spans="1:3" ht="12.75">
      <c r="A236" t="s">
        <v>28</v>
      </c>
      <c r="B236" t="s">
        <v>67</v>
      </c>
      <c r="C236" s="7">
        <v>21</v>
      </c>
    </row>
    <row r="237" spans="1:3" ht="12.75">
      <c r="A237" t="s">
        <v>29</v>
      </c>
      <c r="B237" t="s">
        <v>71</v>
      </c>
      <c r="C237" s="7">
        <v>26</v>
      </c>
    </row>
    <row r="238" spans="1:3" ht="12.75">
      <c r="A238" t="s">
        <v>30</v>
      </c>
      <c r="B238" t="s">
        <v>71</v>
      </c>
      <c r="C238" s="7">
        <v>16</v>
      </c>
    </row>
    <row r="239" spans="1:3" ht="12.75">
      <c r="A239" t="s">
        <v>31</v>
      </c>
      <c r="B239" t="s">
        <v>71</v>
      </c>
      <c r="C239" s="7">
        <v>9</v>
      </c>
    </row>
    <row r="240" spans="1:3" ht="12.75">
      <c r="A240" t="s">
        <v>32</v>
      </c>
      <c r="B240" t="s">
        <v>71</v>
      </c>
      <c r="C240" s="7">
        <v>27</v>
      </c>
    </row>
    <row r="241" spans="1:3" ht="12.75">
      <c r="A241" t="s">
        <v>33</v>
      </c>
      <c r="B241" t="s">
        <v>70</v>
      </c>
      <c r="C241" s="7">
        <v>6</v>
      </c>
    </row>
    <row r="242" spans="1:3" ht="12.75">
      <c r="A242" t="s">
        <v>34</v>
      </c>
      <c r="B242" t="s">
        <v>66</v>
      </c>
      <c r="C242" s="7">
        <v>20</v>
      </c>
    </row>
    <row r="243" spans="1:3" ht="12.75">
      <c r="A243" t="s">
        <v>35</v>
      </c>
      <c r="B243" t="s">
        <v>69</v>
      </c>
      <c r="C243" s="7">
        <v>6</v>
      </c>
    </row>
    <row r="244" spans="1:3" ht="12.75">
      <c r="A244" t="s">
        <v>36</v>
      </c>
      <c r="B244" t="s">
        <v>70</v>
      </c>
      <c r="C244" s="7">
        <v>16</v>
      </c>
    </row>
    <row r="245" spans="1:3" ht="12.75">
      <c r="A245" t="s">
        <v>37</v>
      </c>
      <c r="B245" t="s">
        <v>69</v>
      </c>
      <c r="C245" s="7">
        <v>14</v>
      </c>
    </row>
    <row r="246" spans="1:3" ht="12.75">
      <c r="A246" t="s">
        <v>38</v>
      </c>
      <c r="B246" t="s">
        <v>71</v>
      </c>
      <c r="C246" s="7">
        <v>61</v>
      </c>
    </row>
    <row r="247" spans="1:3" ht="12.75">
      <c r="A247" t="s">
        <v>39</v>
      </c>
      <c r="B247" t="s">
        <v>71</v>
      </c>
      <c r="C247" s="7">
        <v>64</v>
      </c>
    </row>
    <row r="248" spans="1:3" ht="12.75">
      <c r="A248" t="s">
        <v>40</v>
      </c>
      <c r="B248" t="s">
        <v>66</v>
      </c>
      <c r="C248" s="7">
        <v>8</v>
      </c>
    </row>
    <row r="249" spans="1:3" ht="12.75">
      <c r="A249" t="s">
        <v>41</v>
      </c>
      <c r="B249" t="s">
        <v>71</v>
      </c>
      <c r="C249" s="7">
        <v>24</v>
      </c>
    </row>
    <row r="250" spans="1:3" ht="12.75">
      <c r="A250" t="s">
        <v>42</v>
      </c>
      <c r="B250" t="s">
        <v>67</v>
      </c>
      <c r="C250" s="7">
        <v>61</v>
      </c>
    </row>
    <row r="251" spans="1:3" ht="12.75">
      <c r="A251" t="s">
        <v>43</v>
      </c>
      <c r="B251" t="s">
        <v>71</v>
      </c>
      <c r="C251" s="7">
        <v>16</v>
      </c>
    </row>
    <row r="252" spans="1:3" ht="12.75">
      <c r="A252" t="s">
        <v>44</v>
      </c>
      <c r="B252" t="s">
        <v>67</v>
      </c>
      <c r="C252" s="7">
        <v>31</v>
      </c>
    </row>
    <row r="253" spans="1:3" ht="12.75">
      <c r="A253" t="s">
        <v>45</v>
      </c>
      <c r="B253" t="s">
        <v>69</v>
      </c>
      <c r="C253" s="7">
        <v>2</v>
      </c>
    </row>
    <row r="254" spans="1:3" ht="12.75">
      <c r="A254" t="s">
        <v>46</v>
      </c>
      <c r="B254" t="s">
        <v>69</v>
      </c>
      <c r="C254" s="7">
        <v>20</v>
      </c>
    </row>
    <row r="255" spans="1:3" ht="12.75">
      <c r="A255" t="s">
        <v>47</v>
      </c>
      <c r="B255" t="s">
        <v>68</v>
      </c>
      <c r="C255" s="7">
        <v>169</v>
      </c>
    </row>
    <row r="256" spans="1:3" ht="12.75">
      <c r="A256" t="s">
        <v>76</v>
      </c>
      <c r="B256" t="s">
        <v>69</v>
      </c>
      <c r="C256" s="7">
        <v>73</v>
      </c>
    </row>
    <row r="257" spans="1:3" ht="12.75">
      <c r="A257" t="s">
        <v>48</v>
      </c>
      <c r="B257" t="s">
        <v>70</v>
      </c>
      <c r="C257" s="7">
        <v>94</v>
      </c>
    </row>
    <row r="258" spans="1:3" ht="12.75">
      <c r="A258" t="s">
        <v>49</v>
      </c>
      <c r="B258" t="s">
        <v>71</v>
      </c>
      <c r="C258" s="7">
        <v>32</v>
      </c>
    </row>
    <row r="259" spans="1:3" ht="12.75">
      <c r="A259" t="s">
        <v>50</v>
      </c>
      <c r="B259" t="s">
        <v>71</v>
      </c>
      <c r="C259" s="7">
        <v>22</v>
      </c>
    </row>
    <row r="260" spans="1:3" ht="12.75">
      <c r="A260" t="s">
        <v>51</v>
      </c>
      <c r="B260" t="s">
        <v>68</v>
      </c>
      <c r="C260" s="7">
        <v>281</v>
      </c>
    </row>
    <row r="261" spans="1:3" ht="12.75">
      <c r="A261" t="s">
        <v>52</v>
      </c>
      <c r="B261" t="s">
        <v>67</v>
      </c>
      <c r="C261" s="7">
        <v>51</v>
      </c>
    </row>
    <row r="262" spans="1:3" ht="12.75">
      <c r="A262" t="s">
        <v>53</v>
      </c>
      <c r="B262" t="s">
        <v>69</v>
      </c>
      <c r="C262" s="7">
        <v>18</v>
      </c>
    </row>
    <row r="263" spans="1:3" ht="12.75">
      <c r="A263" t="s">
        <v>54</v>
      </c>
      <c r="B263" t="s">
        <v>69</v>
      </c>
      <c r="C263" s="7">
        <v>4</v>
      </c>
    </row>
    <row r="264" spans="1:3" ht="12.75">
      <c r="A264" t="s">
        <v>55</v>
      </c>
      <c r="B264" t="s">
        <v>66</v>
      </c>
      <c r="C264" s="7">
        <v>8</v>
      </c>
    </row>
    <row r="265" spans="1:3" ht="12.75">
      <c r="A265" t="s">
        <v>56</v>
      </c>
      <c r="B265" t="s">
        <v>71</v>
      </c>
      <c r="C265" s="7">
        <v>60</v>
      </c>
    </row>
    <row r="266" spans="1:3" ht="12.75">
      <c r="A266" t="s">
        <v>57</v>
      </c>
      <c r="B266" t="s">
        <v>70</v>
      </c>
      <c r="C266" s="7">
        <v>12</v>
      </c>
    </row>
    <row r="267" spans="1:3" ht="12.75">
      <c r="A267" t="s">
        <v>58</v>
      </c>
      <c r="B267" t="s">
        <v>68</v>
      </c>
      <c r="C267" s="7">
        <v>95</v>
      </c>
    </row>
    <row r="268" spans="1:3" ht="12.75">
      <c r="A268" t="s">
        <v>59</v>
      </c>
      <c r="B268" t="s">
        <v>68</v>
      </c>
      <c r="C268" s="7">
        <v>37</v>
      </c>
    </row>
    <row r="269" spans="1:3" ht="12.75">
      <c r="A269" t="s">
        <v>60</v>
      </c>
      <c r="B269" t="s">
        <v>69</v>
      </c>
      <c r="C269" s="7">
        <v>2</v>
      </c>
    </row>
    <row r="270" spans="1:3" ht="12.75">
      <c r="A270" t="s">
        <v>61</v>
      </c>
      <c r="B270" t="s">
        <v>70</v>
      </c>
      <c r="C270" s="7">
        <v>19</v>
      </c>
    </row>
    <row r="271" spans="1:3" ht="12.75">
      <c r="A271" t="s">
        <v>62</v>
      </c>
      <c r="B271" t="s">
        <v>67</v>
      </c>
      <c r="C271" s="7">
        <v>107</v>
      </c>
    </row>
    <row r="272" spans="1:3" ht="12.75">
      <c r="A272" t="s">
        <v>63</v>
      </c>
      <c r="B272" t="s">
        <v>70</v>
      </c>
      <c r="C272" s="7">
        <v>2</v>
      </c>
    </row>
    <row r="273" spans="1:3" ht="12.75">
      <c r="A273" t="s">
        <v>64</v>
      </c>
      <c r="B273" t="s">
        <v>71</v>
      </c>
      <c r="C273" s="7">
        <v>49</v>
      </c>
    </row>
    <row r="274" spans="1:3" ht="12.75">
      <c r="A274" t="s">
        <v>65</v>
      </c>
      <c r="B274" t="s">
        <v>67</v>
      </c>
      <c r="C274" s="8">
        <v>13</v>
      </c>
    </row>
    <row r="275" spans="1:9" ht="12.75">
      <c r="A275" s="93" t="s">
        <v>94</v>
      </c>
      <c r="B275" s="93"/>
      <c r="C275" s="4">
        <f aca="true" t="shared" si="4" ref="C275:H275">SUM(C224:C274)</f>
        <v>2401</v>
      </c>
      <c r="D275" s="4">
        <f t="shared" si="4"/>
        <v>0</v>
      </c>
      <c r="E275" s="4">
        <f t="shared" si="4"/>
        <v>0</v>
      </c>
      <c r="F275" s="4">
        <f t="shared" si="4"/>
        <v>0</v>
      </c>
      <c r="G275" s="4">
        <f t="shared" si="4"/>
        <v>0</v>
      </c>
      <c r="H275" s="4">
        <f t="shared" si="4"/>
        <v>0</v>
      </c>
      <c r="I275" s="5">
        <f>SUM(C275:H275)</f>
        <v>2401</v>
      </c>
    </row>
    <row r="276" spans="1:8" ht="12.75">
      <c r="A276" s="93" t="s">
        <v>100</v>
      </c>
      <c r="B276" s="93"/>
      <c r="C276" s="1">
        <f>C275/I275</f>
        <v>1</v>
      </c>
      <c r="D276" s="1"/>
      <c r="E276" s="1"/>
      <c r="F276" s="1"/>
      <c r="G276" s="1"/>
      <c r="H276" s="1"/>
    </row>
  </sheetData>
  <mergeCells count="10">
    <mergeCell ref="A55:B55"/>
    <mergeCell ref="A110:B110"/>
    <mergeCell ref="A165:B165"/>
    <mergeCell ref="A220:B220"/>
    <mergeCell ref="A111:B111"/>
    <mergeCell ref="A56:B56"/>
    <mergeCell ref="A275:B275"/>
    <mergeCell ref="A276:B276"/>
    <mergeCell ref="A221:B221"/>
    <mergeCell ref="A166:B16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3" sqref="D33"/>
    </sheetView>
  </sheetViews>
  <sheetFormatPr defaultColWidth="9.140625" defaultRowHeight="12.75"/>
  <cols>
    <col min="1" max="1" width="17.421875" style="0" bestFit="1" customWidth="1"/>
    <col min="2" max="2" width="4.421875" style="0" bestFit="1" customWidth="1"/>
    <col min="3" max="3" width="9.00390625" style="0" bestFit="1" customWidth="1"/>
    <col min="4" max="4" width="10.8515625" style="0" bestFit="1" customWidth="1"/>
    <col min="5" max="5" width="5.8515625" style="0" bestFit="1" customWidth="1"/>
    <col min="6" max="6" width="8.7109375" style="0" bestFit="1" customWidth="1"/>
    <col min="7" max="7" width="7.8515625" style="0" bestFit="1" customWidth="1"/>
    <col min="8" max="8" width="5.421875" style="0" bestFit="1" customWidth="1"/>
  </cols>
  <sheetData>
    <row r="1" spans="3:8" ht="12.75">
      <c r="C1" t="s">
        <v>67</v>
      </c>
      <c r="D1" t="s">
        <v>68</v>
      </c>
      <c r="E1" t="s">
        <v>71</v>
      </c>
      <c r="F1" t="s">
        <v>66</v>
      </c>
      <c r="G1" t="s">
        <v>70</v>
      </c>
      <c r="H1" t="s">
        <v>69</v>
      </c>
    </row>
    <row r="4" spans="1:2" ht="12.75">
      <c r="A4" t="s">
        <v>18</v>
      </c>
      <c r="B4" t="s">
        <v>67</v>
      </c>
    </row>
    <row r="5" spans="1:2" ht="12.75">
      <c r="A5" t="s">
        <v>21</v>
      </c>
      <c r="B5" t="s">
        <v>67</v>
      </c>
    </row>
    <row r="6" spans="1:2" ht="12.75">
      <c r="A6" t="s">
        <v>27</v>
      </c>
      <c r="B6" t="s">
        <v>67</v>
      </c>
    </row>
    <row r="7" spans="1:2" ht="12.75">
      <c r="A7" t="s">
        <v>28</v>
      </c>
      <c r="B7" t="s">
        <v>67</v>
      </c>
    </row>
    <row r="8" spans="1:2" ht="12.75">
      <c r="A8" t="s">
        <v>42</v>
      </c>
      <c r="B8" t="s">
        <v>67</v>
      </c>
    </row>
    <row r="9" spans="1:2" ht="12.75">
      <c r="A9" t="s">
        <v>44</v>
      </c>
      <c r="B9" t="s">
        <v>67</v>
      </c>
    </row>
    <row r="10" spans="1:2" ht="12.75">
      <c r="A10" t="s">
        <v>52</v>
      </c>
      <c r="B10" t="s">
        <v>67</v>
      </c>
    </row>
    <row r="11" spans="1:2" ht="12.75">
      <c r="A11" t="s">
        <v>62</v>
      </c>
      <c r="B11" t="s">
        <v>67</v>
      </c>
    </row>
    <row r="12" spans="1:2" ht="12.75">
      <c r="A12" t="s">
        <v>65</v>
      </c>
      <c r="B12" t="s">
        <v>67</v>
      </c>
    </row>
    <row r="13" spans="1:2" ht="12.75">
      <c r="A13" t="s">
        <v>19</v>
      </c>
      <c r="B13" t="s">
        <v>68</v>
      </c>
    </row>
    <row r="14" spans="1:2" ht="12.75">
      <c r="A14" t="s">
        <v>22</v>
      </c>
      <c r="B14" t="s">
        <v>68</v>
      </c>
    </row>
    <row r="15" spans="1:2" ht="12.75">
      <c r="A15" t="s">
        <v>47</v>
      </c>
      <c r="B15" t="s">
        <v>68</v>
      </c>
    </row>
    <row r="16" spans="1:2" ht="12.75">
      <c r="A16" t="s">
        <v>51</v>
      </c>
      <c r="B16" t="s">
        <v>68</v>
      </c>
    </row>
    <row r="17" spans="1:2" ht="12.75">
      <c r="A17" t="s">
        <v>58</v>
      </c>
      <c r="B17" t="s">
        <v>68</v>
      </c>
    </row>
    <row r="18" spans="1:2" ht="12.75">
      <c r="A18" t="s">
        <v>59</v>
      </c>
      <c r="B18" t="s">
        <v>68</v>
      </c>
    </row>
    <row r="19" spans="1:2" ht="12.75">
      <c r="A19" t="s">
        <v>29</v>
      </c>
      <c r="B19" t="s">
        <v>71</v>
      </c>
    </row>
    <row r="20" spans="1:2" ht="12.75">
      <c r="A20" t="s">
        <v>30</v>
      </c>
      <c r="B20" t="s">
        <v>71</v>
      </c>
    </row>
    <row r="21" spans="1:2" ht="12.75">
      <c r="A21" t="s">
        <v>31</v>
      </c>
      <c r="B21" t="s">
        <v>71</v>
      </c>
    </row>
    <row r="22" spans="1:2" ht="12.75">
      <c r="A22" t="s">
        <v>32</v>
      </c>
      <c r="B22" t="s">
        <v>71</v>
      </c>
    </row>
    <row r="23" spans="1:2" ht="12.75">
      <c r="A23" t="s">
        <v>38</v>
      </c>
      <c r="B23" t="s">
        <v>71</v>
      </c>
    </row>
    <row r="24" spans="1:2" ht="12.75">
      <c r="A24" t="s">
        <v>39</v>
      </c>
      <c r="B24" t="s">
        <v>71</v>
      </c>
    </row>
    <row r="25" spans="1:2" ht="12.75">
      <c r="A25" t="s">
        <v>41</v>
      </c>
      <c r="B25" t="s">
        <v>71</v>
      </c>
    </row>
    <row r="26" spans="1:2" ht="12.75">
      <c r="A26" t="s">
        <v>43</v>
      </c>
      <c r="B26" t="s">
        <v>71</v>
      </c>
    </row>
    <row r="27" spans="1:2" ht="12.75">
      <c r="A27" t="s">
        <v>49</v>
      </c>
      <c r="B27" t="s">
        <v>71</v>
      </c>
    </row>
    <row r="28" spans="1:2" ht="12.75">
      <c r="A28" t="s">
        <v>50</v>
      </c>
      <c r="B28" t="s">
        <v>71</v>
      </c>
    </row>
    <row r="29" spans="1:2" ht="12.75">
      <c r="A29" t="s">
        <v>56</v>
      </c>
      <c r="B29" t="s">
        <v>71</v>
      </c>
    </row>
    <row r="30" spans="1:2" ht="12.75">
      <c r="A30" t="s">
        <v>64</v>
      </c>
      <c r="B30" t="s">
        <v>71</v>
      </c>
    </row>
    <row r="31" spans="1:2" ht="12.75">
      <c r="A31" t="s">
        <v>17</v>
      </c>
      <c r="B31" t="s">
        <v>66</v>
      </c>
    </row>
    <row r="32" spans="1:2" ht="12.75">
      <c r="A32" t="s">
        <v>20</v>
      </c>
      <c r="B32" t="s">
        <v>66</v>
      </c>
    </row>
    <row r="33" spans="1:2" ht="12.75">
      <c r="A33" t="s">
        <v>25</v>
      </c>
      <c r="B33" t="s">
        <v>66</v>
      </c>
    </row>
    <row r="34" spans="1:2" ht="12.75">
      <c r="A34" t="s">
        <v>26</v>
      </c>
      <c r="B34" t="s">
        <v>66</v>
      </c>
    </row>
    <row r="35" spans="1:2" ht="12.75">
      <c r="A35" t="s">
        <v>34</v>
      </c>
      <c r="B35" t="s">
        <v>66</v>
      </c>
    </row>
    <row r="36" spans="1:2" ht="12.75">
      <c r="A36" t="s">
        <v>40</v>
      </c>
      <c r="B36" t="s">
        <v>66</v>
      </c>
    </row>
    <row r="37" spans="1:2" ht="12.75">
      <c r="A37" t="s">
        <v>55</v>
      </c>
      <c r="B37" t="s">
        <v>66</v>
      </c>
    </row>
    <row r="38" spans="1:2" ht="12.75">
      <c r="A38" t="s">
        <v>23</v>
      </c>
      <c r="B38" t="s">
        <v>70</v>
      </c>
    </row>
    <row r="39" spans="1:2" ht="12.75">
      <c r="A39" t="s">
        <v>24</v>
      </c>
      <c r="B39" t="s">
        <v>70</v>
      </c>
    </row>
    <row r="40" spans="1:2" ht="12.75">
      <c r="A40" t="s">
        <v>33</v>
      </c>
      <c r="B40" t="s">
        <v>70</v>
      </c>
    </row>
    <row r="41" spans="1:2" ht="12.75">
      <c r="A41" t="s">
        <v>36</v>
      </c>
      <c r="B41" t="s">
        <v>70</v>
      </c>
    </row>
    <row r="42" spans="1:2" ht="12.75">
      <c r="A42" t="s">
        <v>48</v>
      </c>
      <c r="B42" t="s">
        <v>70</v>
      </c>
    </row>
    <row r="43" spans="1:2" ht="12.75">
      <c r="A43" t="s">
        <v>57</v>
      </c>
      <c r="B43" t="s">
        <v>70</v>
      </c>
    </row>
    <row r="44" spans="1:2" ht="12.75">
      <c r="A44" t="s">
        <v>61</v>
      </c>
      <c r="B44" t="s">
        <v>70</v>
      </c>
    </row>
    <row r="45" spans="1:2" ht="12.75">
      <c r="A45" t="s">
        <v>63</v>
      </c>
      <c r="B45" t="s">
        <v>70</v>
      </c>
    </row>
    <row r="46" spans="1:2" ht="12.75">
      <c r="A46" t="s">
        <v>72</v>
      </c>
      <c r="B46" t="s">
        <v>69</v>
      </c>
    </row>
    <row r="47" spans="1:2" ht="12.75">
      <c r="A47" t="s">
        <v>35</v>
      </c>
      <c r="B47" t="s">
        <v>69</v>
      </c>
    </row>
    <row r="48" spans="1:2" ht="12.75">
      <c r="A48" t="s">
        <v>37</v>
      </c>
      <c r="B48" t="s">
        <v>69</v>
      </c>
    </row>
    <row r="49" spans="1:2" ht="12.75">
      <c r="A49" t="s">
        <v>45</v>
      </c>
      <c r="B49" t="s">
        <v>69</v>
      </c>
    </row>
    <row r="50" spans="1:2" ht="12.75">
      <c r="A50" t="s">
        <v>46</v>
      </c>
      <c r="B50" t="s">
        <v>69</v>
      </c>
    </row>
    <row r="51" spans="1:2" ht="12.75">
      <c r="A51" t="s">
        <v>76</v>
      </c>
      <c r="B51" t="s">
        <v>69</v>
      </c>
    </row>
    <row r="52" spans="1:2" ht="12.75">
      <c r="A52" t="s">
        <v>53</v>
      </c>
      <c r="B52" t="s">
        <v>69</v>
      </c>
    </row>
    <row r="53" spans="1:2" ht="12.75">
      <c r="A53" t="s">
        <v>54</v>
      </c>
      <c r="B53" t="s">
        <v>69</v>
      </c>
    </row>
    <row r="54" spans="1:2" ht="12.75">
      <c r="A54" t="s">
        <v>60</v>
      </c>
      <c r="B54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0">
      <selection activeCell="C25" sqref="C25"/>
    </sheetView>
  </sheetViews>
  <sheetFormatPr defaultColWidth="9.140625" defaultRowHeight="18" customHeight="1"/>
  <cols>
    <col min="1" max="1" width="5.00390625" style="70" bestFit="1" customWidth="1"/>
    <col min="2" max="2" width="19.7109375" style="9" customWidth="1"/>
    <col min="3" max="8" width="14.140625" style="9" bestFit="1" customWidth="1"/>
    <col min="9" max="16384" width="9.140625" style="9" customWidth="1"/>
  </cols>
  <sheetData>
    <row r="1" spans="1:8" s="10" customFormat="1" ht="18" customHeight="1">
      <c r="A1" s="70"/>
      <c r="B1" s="71"/>
      <c r="C1" s="55" t="s">
        <v>67</v>
      </c>
      <c r="D1" s="55" t="s">
        <v>68</v>
      </c>
      <c r="E1" s="55" t="s">
        <v>71</v>
      </c>
      <c r="F1" s="55" t="s">
        <v>66</v>
      </c>
      <c r="G1" s="55" t="s">
        <v>70</v>
      </c>
      <c r="H1" s="55" t="s">
        <v>69</v>
      </c>
    </row>
    <row r="2" spans="2:11" s="55" customFormat="1" ht="18" customHeight="1">
      <c r="B2" s="29" t="s">
        <v>79</v>
      </c>
      <c r="C2" s="56"/>
      <c r="D2" s="56"/>
      <c r="E2" s="56"/>
      <c r="F2" s="56"/>
      <c r="G2" s="56"/>
      <c r="H2" s="56"/>
      <c r="I2" s="56"/>
      <c r="J2" s="56"/>
      <c r="K2" s="56"/>
    </row>
    <row r="3" spans="1:8" ht="18" customHeight="1">
      <c r="A3" s="70">
        <v>11.1</v>
      </c>
      <c r="B3" s="9" t="s">
        <v>150</v>
      </c>
      <c r="C3" s="12">
        <f>'Full-time permanent staff costs'!C22+'Full-time permanent staff costs'!C41</f>
        <v>2353548.941497121</v>
      </c>
      <c r="D3" s="12">
        <f>'Full-time permanent staff costs'!D22+'Full-time permanent staff costs'!D41</f>
        <v>1773078.6081250098</v>
      </c>
      <c r="E3" s="12">
        <f>'Full-time permanent staff costs'!E22+'Full-time permanent staff costs'!E41</f>
        <v>2918873.102837648</v>
      </c>
      <c r="F3" s="12">
        <f>'Full-time permanent staff costs'!F22+'Full-time permanent staff costs'!F41</f>
        <v>1938218.2678149461</v>
      </c>
      <c r="G3" s="12">
        <f>'Full-time permanent staff costs'!G22+'Full-time permanent staff costs'!G41</f>
        <v>1864303.2726004038</v>
      </c>
      <c r="H3" s="12">
        <f>'Full-time permanent staff costs'!H22+'Full-time permanent staff costs'!H41</f>
        <v>2436239.227124871</v>
      </c>
    </row>
    <row r="4" spans="1:8" ht="18" customHeight="1">
      <c r="A4" s="70">
        <v>11.3</v>
      </c>
      <c r="B4" s="9" t="s">
        <v>151</v>
      </c>
      <c r="C4" s="12">
        <f>'Grants Allocation'!C$20*'Comprehensive Breakdown'!$C4</f>
        <v>158619.79591295766</v>
      </c>
      <c r="D4" s="12">
        <f>'Grants Allocation'!D20*'Comprehensive Breakdown'!$C4</f>
        <v>117408.76318593048</v>
      </c>
      <c r="E4" s="12">
        <f>'Grants Allocation'!E20*'Comprehensive Breakdown'!$C4</f>
        <v>192467.92451528143</v>
      </c>
      <c r="F4" s="12">
        <f>'Grants Allocation'!F20*'Comprehensive Breakdown'!$C4</f>
        <v>124717.4169373417</v>
      </c>
      <c r="G4" s="12">
        <f>'Grants Allocation'!G20*'Comprehensive Breakdown'!$C4</f>
        <v>108682.2516008923</v>
      </c>
      <c r="H4" s="12">
        <f>'Grants Allocation'!H20*'Comprehensive Breakdown'!$C4</f>
        <v>167738.6361862842</v>
      </c>
    </row>
    <row r="5" spans="1:8" ht="18" customHeight="1">
      <c r="A5" s="70">
        <v>11.5</v>
      </c>
      <c r="B5" s="9" t="s">
        <v>152</v>
      </c>
      <c r="C5" s="12">
        <f>'Grants Allocation'!C$20*'Comprehensive Breakdown'!$C5</f>
        <v>889250.1759623779</v>
      </c>
      <c r="D5" s="12">
        <f>'Grants Allocation'!D20*'Comprehensive Breakdown'!$C5</f>
        <v>658213.9557152521</v>
      </c>
      <c r="E5" s="12">
        <f>'Grants Allocation'!E20*'Comprehensive Breakdown'!$C5</f>
        <v>1079008.6745304295</v>
      </c>
      <c r="F5" s="12">
        <f>'Grants Allocation'!F20*'Comprehensive Breakdown'!$C5</f>
        <v>699187.5403620066</v>
      </c>
      <c r="G5" s="12">
        <f>'Grants Allocation'!G20*'Comprehensive Breakdown'!$C5</f>
        <v>609291.613343867</v>
      </c>
      <c r="H5" s="12">
        <f>'Grants Allocation'!H20*'Comprehensive Breakdown'!$C5</f>
        <v>940371.9812260676</v>
      </c>
    </row>
    <row r="6" spans="1:8" ht="18" customHeight="1">
      <c r="A6" s="70">
        <v>11.9</v>
      </c>
      <c r="B6" s="9" t="s">
        <v>153</v>
      </c>
      <c r="C6" s="12">
        <f aca="true" t="shared" si="0" ref="C6:H6">SUM(C3:C5)</f>
        <v>3401418.9133724566</v>
      </c>
      <c r="D6" s="12">
        <f t="shared" si="0"/>
        <v>2548701.327026192</v>
      </c>
      <c r="E6" s="12">
        <f t="shared" si="0"/>
        <v>4190349.701883359</v>
      </c>
      <c r="F6" s="12">
        <f t="shared" si="0"/>
        <v>2762123.2251142943</v>
      </c>
      <c r="G6" s="12">
        <f t="shared" si="0"/>
        <v>2582277.137545163</v>
      </c>
      <c r="H6" s="12">
        <f t="shared" si="0"/>
        <v>3544349.8445372228</v>
      </c>
    </row>
    <row r="7" spans="1:8" ht="18" customHeight="1">
      <c r="A7" s="70">
        <v>12.1</v>
      </c>
      <c r="B7" s="9" t="s">
        <v>82</v>
      </c>
      <c r="C7" s="12">
        <f>'Grants Allocation'!C$20*'Comprehensive Breakdown'!$C7</f>
        <v>639027.191868993</v>
      </c>
      <c r="D7" s="12">
        <f>'Grants Allocation'!D$20*'Comprehensive Breakdown'!$C7</f>
        <v>473001.44227072335</v>
      </c>
      <c r="E7" s="12">
        <f>'Grants Allocation'!E$20*'Comprehensive Breakdown'!$C7</f>
        <v>775390.212929951</v>
      </c>
      <c r="F7" s="12">
        <f>'Grants Allocation'!F$20*'Comprehensive Breakdown'!$C7</f>
        <v>502445.61382715363</v>
      </c>
      <c r="G7" s="12">
        <f>'Grants Allocation'!G$20*'Comprehensive Breakdown'!$C7</f>
        <v>437845.18601088505</v>
      </c>
      <c r="H7" s="12">
        <f>'Grants Allocation'!H$20*'Comprehensive Breakdown'!$C7</f>
        <v>675764.0118820725</v>
      </c>
    </row>
    <row r="8" spans="1:8" ht="18" customHeight="1">
      <c r="A8" s="70">
        <v>21</v>
      </c>
      <c r="B8" s="9" t="s">
        <v>83</v>
      </c>
      <c r="C8" s="12">
        <f>'Grants Allocation'!C$20*'Comprehensive Breakdown'!$C8</f>
        <v>244605.5823849343</v>
      </c>
      <c r="D8" s="12">
        <f>'Grants Allocation'!D$20*'Comprehensive Breakdown'!$C8</f>
        <v>181054.5697079876</v>
      </c>
      <c r="E8" s="12">
        <f>'Grants Allocation'!E$20*'Comprehensive Breakdown'!$C8</f>
        <v>296802.35367541615</v>
      </c>
      <c r="F8" s="12">
        <f>'Grants Allocation'!F$20*'Comprehensive Breakdown'!$C8</f>
        <v>192325.15227950213</v>
      </c>
      <c r="G8" s="12">
        <f>'Grants Allocation'!G$20*'Comprehensive Breakdown'!$C8</f>
        <v>167597.52649240766</v>
      </c>
      <c r="H8" s="12">
        <f>'Grants Allocation'!H$20*'Comprehensive Breakdown'!$C8</f>
        <v>258667.63071184186</v>
      </c>
    </row>
    <row r="9" spans="1:8" ht="18" customHeight="1">
      <c r="A9" s="70">
        <v>22</v>
      </c>
      <c r="B9" s="9" t="s">
        <v>84</v>
      </c>
      <c r="C9" s="12">
        <f>'Grants Allocation'!C$20*'Comprehensive Breakdown'!$C9</f>
        <v>43639.85958458487</v>
      </c>
      <c r="D9" s="12">
        <f>'Grants Allocation'!D$20*'Comprehensive Breakdown'!$C9</f>
        <v>32301.781186538694</v>
      </c>
      <c r="E9" s="12">
        <f>'Grants Allocation'!E$20*'Comprehensive Breakdown'!$C9</f>
        <v>52952.23809890947</v>
      </c>
      <c r="F9" s="12">
        <f>'Grants Allocation'!F$20*'Comprehensive Breakdown'!$C9</f>
        <v>34312.555577138446</v>
      </c>
      <c r="G9" s="12">
        <f>'Grants Allocation'!G$20*'Comprehensive Breakdown'!$C9</f>
        <v>29900.92234012273</v>
      </c>
      <c r="H9" s="12">
        <f>'Grants Allocation'!H$20*'Comprehensive Breakdown'!$C9</f>
        <v>46148.65684290815</v>
      </c>
    </row>
    <row r="10" spans="1:8" ht="18" customHeight="1">
      <c r="A10" s="70">
        <v>23.2</v>
      </c>
      <c r="B10" s="9" t="s">
        <v>85</v>
      </c>
      <c r="C10" s="12">
        <f>'Grants Allocation'!C$20*'Comprehensive Breakdown'!$C10</f>
        <v>1843347.6688528645</v>
      </c>
      <c r="D10" s="12">
        <f>'Grants Allocation'!D$20*'Comprehensive Breakdown'!$C10</f>
        <v>1364427.2373193942</v>
      </c>
      <c r="E10" s="12">
        <f>'Grants Allocation'!E$20*'Comprehensive Breakdown'!$C10</f>
        <v>2236702.5372979357</v>
      </c>
      <c r="F10" s="12">
        <f>'Grants Allocation'!F$20*'Comprehensive Breakdown'!$C10</f>
        <v>1449362.3475783279</v>
      </c>
      <c r="G10" s="12">
        <f>'Grants Allocation'!G$20*'Comprehensive Breakdown'!$C10</f>
        <v>1263014.959646784</v>
      </c>
      <c r="H10" s="12">
        <f>'Grants Allocation'!H$20*'Comprehensive Breakdown'!$C10</f>
        <v>1949319.26504444</v>
      </c>
    </row>
    <row r="11" spans="1:8" ht="18" customHeight="1">
      <c r="A11" s="70">
        <v>23.3</v>
      </c>
      <c r="B11" s="9" t="s">
        <v>86</v>
      </c>
      <c r="C11" s="12">
        <f>'Grants Allocation'!C$20*'Comprehensive Breakdown'!$C11</f>
        <v>270357.6580984202</v>
      </c>
      <c r="D11" s="12">
        <f>'Grants Allocation'!D$20*'Comprehensive Breakdown'!$C11</f>
        <v>200115.99480684454</v>
      </c>
      <c r="E11" s="12">
        <f>'Grants Allocation'!E$20*'Comprehensive Breakdown'!$C11</f>
        <v>328049.70547036396</v>
      </c>
      <c r="F11" s="12">
        <f>'Grants Allocation'!F$20*'Comprehensive Breakdown'!$C11</f>
        <v>212573.14431148814</v>
      </c>
      <c r="G11" s="12">
        <f>'Grants Allocation'!G$20*'Comprehensive Breakdown'!$C11</f>
        <v>185242.19408152835</v>
      </c>
      <c r="H11" s="12">
        <f>'Grants Allocation'!H$20*'Comprehensive Breakdown'!$C11</f>
        <v>285900.1588731846</v>
      </c>
    </row>
    <row r="12" spans="1:8" ht="18" customHeight="1">
      <c r="A12" s="70">
        <v>24</v>
      </c>
      <c r="B12" s="9" t="s">
        <v>87</v>
      </c>
      <c r="C12" s="12">
        <f>'Grants Allocation'!C$20*'Comprehensive Breakdown'!$C12</f>
        <v>80509.59420216914</v>
      </c>
      <c r="D12" s="12">
        <f>'Grants Allocation'!D$20*'Comprehensive Breakdown'!$C12</f>
        <v>59592.38457893931</v>
      </c>
      <c r="E12" s="12">
        <f>'Grants Allocation'!E$20*'Comprehensive Breakdown'!$C12</f>
        <v>97689.6635787009</v>
      </c>
      <c r="F12" s="12">
        <f>'Grants Allocation'!F$20*'Comprehensive Breakdown'!$C12</f>
        <v>63301.989324699854</v>
      </c>
      <c r="G12" s="12">
        <f>'Grants Allocation'!G$20*'Comprehensive Breakdown'!$C12</f>
        <v>55163.12716836059</v>
      </c>
      <c r="H12" s="12">
        <f>'Grants Allocation'!H$20*'Comprehensive Breakdown'!$C12</f>
        <v>85137.98327412824</v>
      </c>
    </row>
    <row r="13" spans="1:8" ht="18" customHeight="1">
      <c r="A13" s="70">
        <v>25.1</v>
      </c>
      <c r="B13" s="9" t="s">
        <v>88</v>
      </c>
      <c r="C13" s="12">
        <f>'Grants Allocation'!C$20*'Comprehensive Breakdown'!$C13</f>
        <v>76806.15286886937</v>
      </c>
      <c r="D13" s="12">
        <f>'Grants Allocation'!D$20*'Comprehensive Breakdown'!$C13</f>
        <v>56851.1348883081</v>
      </c>
      <c r="E13" s="12">
        <f>'Grants Allocation'!E$20*'Comprehensive Breakdown'!$C13</f>
        <v>93195.93905408066</v>
      </c>
      <c r="F13" s="12">
        <f>'Grants Allocation'!F$20*'Comprehensive Breakdown'!$C13</f>
        <v>60390.097815763664</v>
      </c>
      <c r="G13" s="12">
        <f>'Grants Allocation'!G$20*'Comprehensive Breakdown'!$C13</f>
        <v>52625.623318616</v>
      </c>
      <c r="H13" s="12">
        <f>'Grants Allocation'!H$20*'Comprehensive Breakdown'!$C13</f>
        <v>81221.63604351835</v>
      </c>
    </row>
    <row r="14" spans="1:8" ht="18" customHeight="1" hidden="1">
      <c r="A14" s="70">
        <v>25.2</v>
      </c>
      <c r="B14" s="9" t="s">
        <v>89</v>
      </c>
      <c r="C14" s="12">
        <f>'Grants Allocation'!C$20*'Comprehensive Breakdown'!$C14</f>
        <v>0</v>
      </c>
      <c r="D14" s="12">
        <f>'Grants Allocation'!D$20*'Comprehensive Breakdown'!$C14</f>
        <v>0</v>
      </c>
      <c r="E14" s="12">
        <f>'Grants Allocation'!E$20*'Comprehensive Breakdown'!$C14</f>
        <v>0</v>
      </c>
      <c r="F14" s="12">
        <f>'Grants Allocation'!F$20*'Comprehensive Breakdown'!$C14</f>
        <v>0</v>
      </c>
      <c r="G14" s="12">
        <f>'Grants Allocation'!G$20*'Comprehensive Breakdown'!$C14</f>
        <v>0</v>
      </c>
      <c r="H14" s="12">
        <f>'Grants Allocation'!H$20*'Comprehensive Breakdown'!$C14</f>
        <v>0</v>
      </c>
    </row>
    <row r="15" spans="1:8" ht="18" customHeight="1">
      <c r="A15" s="70">
        <v>26</v>
      </c>
      <c r="B15" s="9" t="s">
        <v>90</v>
      </c>
      <c r="C15" s="12">
        <f>'Grants Allocation'!C$20*'Comprehensive Breakdown'!$C15</f>
        <v>270357.6580984202</v>
      </c>
      <c r="D15" s="12">
        <f>'Grants Allocation'!D$20*'Comprehensive Breakdown'!$C15</f>
        <v>200115.99480684454</v>
      </c>
      <c r="E15" s="12">
        <f>'Grants Allocation'!E$20*'Comprehensive Breakdown'!$C15</f>
        <v>328049.70547036396</v>
      </c>
      <c r="F15" s="12">
        <f>'Grants Allocation'!F$20*'Comprehensive Breakdown'!$C15</f>
        <v>212573.14431148814</v>
      </c>
      <c r="G15" s="12">
        <f>'Grants Allocation'!G$20*'Comprehensive Breakdown'!$C15</f>
        <v>185242.19408152835</v>
      </c>
      <c r="H15" s="12">
        <f>'Grants Allocation'!H$20*'Comprehensive Breakdown'!$C15</f>
        <v>285900.1588731846</v>
      </c>
    </row>
    <row r="16" spans="1:8" ht="18" customHeight="1">
      <c r="A16" s="70">
        <v>31</v>
      </c>
      <c r="B16" s="9" t="s">
        <v>91</v>
      </c>
      <c r="C16" s="12">
        <f>'Grants Allocation'!C$20*'Comprehensive Breakdown'!$C16</f>
        <v>356380.5493115538</v>
      </c>
      <c r="D16" s="12">
        <f>'Grants Allocation'!D$20*'Comprehensive Breakdown'!$C16</f>
        <v>263789.26588174957</v>
      </c>
      <c r="E16" s="12">
        <f>'Grants Allocation'!E$20*'Comprehensive Breakdown'!$C16</f>
        <v>432429.15721093427</v>
      </c>
      <c r="F16" s="12">
        <f>'Grants Allocation'!F$20*'Comprehensive Breakdown'!$C16</f>
        <v>280210.0538651434</v>
      </c>
      <c r="G16" s="12">
        <f>'Grants Allocation'!G$20*'Comprehensive Breakdown'!$C16</f>
        <v>244182.89219837825</v>
      </c>
      <c r="H16" s="12">
        <f>'Grants Allocation'!H$20*'Comprehensive Breakdown'!$C16</f>
        <v>376868.3912419251</v>
      </c>
    </row>
    <row r="17" spans="2:8" ht="18" customHeight="1">
      <c r="B17" s="13" t="s">
        <v>159</v>
      </c>
      <c r="C17" s="11">
        <f aca="true" t="shared" si="1" ref="C17:H17">SUM(C6:C16)</f>
        <v>7226450.828643267</v>
      </c>
      <c r="D17" s="11">
        <f t="shared" si="1"/>
        <v>5379951.132473523</v>
      </c>
      <c r="E17" s="11">
        <f t="shared" si="1"/>
        <v>8831611.214670014</v>
      </c>
      <c r="F17" s="11">
        <f t="shared" si="1"/>
        <v>5769617.324004999</v>
      </c>
      <c r="G17" s="11">
        <f t="shared" si="1"/>
        <v>5203091.762883773</v>
      </c>
      <c r="H17" s="11">
        <f t="shared" si="1"/>
        <v>7589277.737324426</v>
      </c>
    </row>
    <row r="18" ht="18" customHeight="1">
      <c r="B18" s="10" t="s">
        <v>136</v>
      </c>
    </row>
    <row r="19" spans="1:8" ht="18" customHeight="1">
      <c r="A19" s="70">
        <v>11.3</v>
      </c>
      <c r="B19" s="9" t="s">
        <v>151</v>
      </c>
      <c r="C19" s="12">
        <f>'Needs Assessment'!C$15*'Comprehensive Breakdown'!$C19</f>
        <v>280610.97758476535</v>
      </c>
      <c r="D19" s="12">
        <f>'Needs Assessment'!D$15*'Comprehensive Breakdown'!$C19</f>
        <v>207625.71404209264</v>
      </c>
      <c r="E19" s="12">
        <f>'Needs Assessment'!E$15*'Comprehensive Breakdown'!$C19</f>
        <v>373524.05402067606</v>
      </c>
      <c r="F19" s="12">
        <f>'Needs Assessment'!F$15*'Comprehensive Breakdown'!$C19</f>
        <v>253307.98942227356</v>
      </c>
      <c r="G19" s="12">
        <f>'Needs Assessment'!G$15*'Comprehensive Breakdown'!$C19</f>
        <v>482355.79868037434</v>
      </c>
      <c r="H19" s="12">
        <f>'Needs Assessment'!H$15*'Comprehensive Breakdown'!$C19</f>
        <v>405752.37306146015</v>
      </c>
    </row>
    <row r="20" spans="1:8" ht="18" customHeight="1">
      <c r="A20" s="70">
        <v>21</v>
      </c>
      <c r="B20" s="9" t="s">
        <v>83</v>
      </c>
      <c r="C20" s="12">
        <f>'Needs Assessment'!C$15*'Comprehensive Breakdown'!$C20</f>
        <v>976014.217622638</v>
      </c>
      <c r="D20" s="12">
        <f>'Needs Assessment'!D$15*'Comprehensive Breakdown'!$C20</f>
        <v>722158.6646157511</v>
      </c>
      <c r="E20" s="12">
        <f>'Needs Assessment'!E$15*'Comprehensive Breakdown'!$C20</f>
        <v>1299182.2005185115</v>
      </c>
      <c r="F20" s="12">
        <f>'Needs Assessment'!F$15*'Comprehensive Breakdown'!$C20</f>
        <v>881049.6340573893</v>
      </c>
      <c r="G20" s="12">
        <f>'Needs Assessment'!G$15*'Comprehensive Breakdown'!$C20</f>
        <v>1677718.1046759153</v>
      </c>
      <c r="H20" s="12">
        <f>'Needs Assessment'!H$15*'Comprehensive Breakdown'!$C20</f>
        <v>1411277.9491047612</v>
      </c>
    </row>
    <row r="21" spans="1:8" ht="18" customHeight="1">
      <c r="A21" s="70">
        <v>22</v>
      </c>
      <c r="B21" s="9" t="s">
        <v>84</v>
      </c>
      <c r="C21" s="12">
        <f>'Needs Assessment'!C$15*'Comprehensive Breakdown'!$C21</f>
        <v>174129.8092804025</v>
      </c>
      <c r="D21" s="12">
        <f>'Needs Assessment'!D$15*'Comprehensive Breakdown'!$C21</f>
        <v>128839.67084621925</v>
      </c>
      <c r="E21" s="12">
        <f>'Needs Assessment'!E$15*'Comprehensive Breakdown'!$C21</f>
        <v>231785.91531977992</v>
      </c>
      <c r="F21" s="12">
        <f>'Needs Assessment'!F$15*'Comprehensive Breakdown'!$C21</f>
        <v>157187.26425796608</v>
      </c>
      <c r="G21" s="12">
        <f>'Needs Assessment'!G$15*'Comprehensive Breakdown'!$C21</f>
        <v>299320.1618569531</v>
      </c>
      <c r="H21" s="12">
        <f>'Needs Assessment'!H$15*'Comprehensive Breakdown'!$C21</f>
        <v>251784.81591982677</v>
      </c>
    </row>
    <row r="22" spans="1:8" ht="18" customHeight="1">
      <c r="A22" s="70">
        <v>23.3</v>
      </c>
      <c r="B22" s="9" t="s">
        <v>86</v>
      </c>
      <c r="C22" s="12">
        <f>'Needs Assessment'!C$15*'Comprehensive Breakdown'!$C22</f>
        <v>539384.4972269748</v>
      </c>
      <c r="D22" s="12">
        <f>'Needs Assessment'!D$15*'Comprehensive Breakdown'!$C22</f>
        <v>399093.7644132488</v>
      </c>
      <c r="E22" s="12">
        <f>'Needs Assessment'!E$15*'Comprehensive Breakdown'!$C22</f>
        <v>717980.0512945504</v>
      </c>
      <c r="F22" s="12">
        <f>'Needs Assessment'!F$15*'Comprehensive Breakdown'!$C22</f>
        <v>486903.2697654758</v>
      </c>
      <c r="G22" s="12">
        <f>'Needs Assessment'!G$15*'Comprehensive Breakdown'!$C22</f>
        <v>927174.1333680982</v>
      </c>
      <c r="H22" s="12">
        <f>'Needs Assessment'!H$15*'Comprehensive Breakdown'!$C22</f>
        <v>779928.6457932555</v>
      </c>
    </row>
    <row r="23" spans="1:8" ht="18" customHeight="1">
      <c r="A23" s="70">
        <v>24</v>
      </c>
      <c r="B23" s="9" t="s">
        <v>87</v>
      </c>
      <c r="C23" s="12">
        <f>'Needs Assessment'!C$15*'Comprehensive Breakdown'!$C23</f>
        <v>160622.88487081154</v>
      </c>
      <c r="D23" s="12">
        <f>'Needs Assessment'!D$15*'Comprehensive Breakdown'!$C23</f>
        <v>118845.81797135528</v>
      </c>
      <c r="E23" s="12">
        <f>'Needs Assessment'!E$15*'Comprehensive Breakdown'!$C23</f>
        <v>213806.71434109678</v>
      </c>
      <c r="F23" s="12">
        <f>'Needs Assessment'!F$15*'Comprehensive Breakdown'!$C23</f>
        <v>144994.54145388905</v>
      </c>
      <c r="G23" s="12">
        <f>'Needs Assessment'!G$15*'Comprehensive Breakdown'!$C23</f>
        <v>276102.45538167586</v>
      </c>
      <c r="H23" s="12">
        <f>'Needs Assessment'!H$15*'Comprehensive Breakdown'!$C23</f>
        <v>232254.33753610856</v>
      </c>
    </row>
    <row r="24" spans="1:8" ht="18" customHeight="1">
      <c r="A24" s="70">
        <v>25.1</v>
      </c>
      <c r="B24" s="9" t="s">
        <v>88</v>
      </c>
      <c r="C24" s="12">
        <f>'Needs Assessment'!C$15*'Comprehensive Breakdown'!$C24</f>
        <v>1532342.3216675417</v>
      </c>
      <c r="D24" s="12">
        <f>'Needs Assessment'!D$15*'Comprehensive Breakdown'!$C24</f>
        <v>1133789.1034467292</v>
      </c>
      <c r="E24" s="12">
        <f>'Needs Assessment'!E$15*'Comprehensive Breakdown'!$C24</f>
        <v>2039716.0548140632</v>
      </c>
      <c r="F24" s="12">
        <f>'Needs Assessment'!F$15*'Comprehensive Breakdown'!$C24</f>
        <v>1383247.9254701014</v>
      </c>
      <c r="G24" s="12">
        <f>'Needs Assessment'!G$15*'Comprehensive Breakdown'!$C24</f>
        <v>2634017.4243411873</v>
      </c>
      <c r="H24" s="12">
        <f>'Needs Assessment'!H$15*'Comprehensive Breakdown'!$C24</f>
        <v>2215706.3800944756</v>
      </c>
    </row>
    <row r="25" spans="1:8" ht="18" customHeight="1">
      <c r="A25" s="70">
        <v>26</v>
      </c>
      <c r="B25" s="9" t="s">
        <v>90</v>
      </c>
      <c r="C25" s="12">
        <f>'Needs Assessment'!C$15*'Comprehensive Breakdown'!$C25</f>
        <v>539384.4972269748</v>
      </c>
      <c r="D25" s="12">
        <f>'Needs Assessment'!D$15*'Comprehensive Breakdown'!$C25</f>
        <v>399093.7644132488</v>
      </c>
      <c r="E25" s="12">
        <f>'Needs Assessment'!E$15*'Comprehensive Breakdown'!$C25</f>
        <v>717980.0512945504</v>
      </c>
      <c r="F25" s="12">
        <f>'Needs Assessment'!F$15*'Comprehensive Breakdown'!$C25</f>
        <v>486903.2697654758</v>
      </c>
      <c r="G25" s="12">
        <f>'Needs Assessment'!G$15*'Comprehensive Breakdown'!$C25</f>
        <v>927174.1333680982</v>
      </c>
      <c r="H25" s="12">
        <f>'Needs Assessment'!H$15*'Comprehensive Breakdown'!$C25</f>
        <v>779928.6457932555</v>
      </c>
    </row>
    <row r="26" spans="2:8" ht="18" customHeight="1">
      <c r="B26" s="13" t="s">
        <v>159</v>
      </c>
      <c r="C26" s="11">
        <f>SUM(C19:C25)</f>
        <v>4202489.205480108</v>
      </c>
      <c r="D26" s="11">
        <f>SUM(D19:D25)</f>
        <v>3109446.4997486454</v>
      </c>
      <c r="E26" s="11">
        <f>SUM(E19:E25)</f>
        <v>5593975.041603228</v>
      </c>
      <c r="F26" s="11">
        <f>SUM(F19:F25)</f>
        <v>3793593.894192571</v>
      </c>
      <c r="G26" s="11">
        <f>SUM(G19:G25)</f>
        <v>7223862.211672301</v>
      </c>
      <c r="H26" s="11">
        <f>SUM(H19:H25)</f>
        <v>6076633.1473031435</v>
      </c>
    </row>
    <row r="27" ht="18" customHeight="1">
      <c r="B27" s="10" t="s">
        <v>131</v>
      </c>
    </row>
    <row r="28" spans="1:8" ht="18" customHeight="1">
      <c r="A28" s="77">
        <v>11.3</v>
      </c>
      <c r="B28" s="9" t="s">
        <v>123</v>
      </c>
      <c r="C28" s="12">
        <f>'Grants Allocation'!C$20*'Comprehensive Breakdown'!$C28</f>
        <v>455995.43061052676</v>
      </c>
      <c r="D28" s="12">
        <f>'Grants Allocation'!D$20*'Comprehensive Breakdown'!$C28</f>
        <v>337523.1900802378</v>
      </c>
      <c r="E28" s="12">
        <f>'Grants Allocation'!E$20*'Comprehensive Breakdown'!$C28</f>
        <v>553301.0152542419</v>
      </c>
      <c r="F28" s="12">
        <f>'Grants Allocation'!F$20*'Comprehensive Breakdown'!$C28</f>
        <v>358533.8886212119</v>
      </c>
      <c r="G28" s="12">
        <f>'Grants Allocation'!G$20*'Comprehensive Breakdown'!$C28</f>
        <v>312436.47637565807</v>
      </c>
      <c r="H28" s="12">
        <f>'Grants Allocation'!H$20*'Comprehensive Breakdown'!$C28</f>
        <v>482209.9990581241</v>
      </c>
    </row>
    <row r="29" spans="1:8" ht="18" customHeight="1">
      <c r="A29" s="77">
        <v>21</v>
      </c>
      <c r="B29" s="9" t="s">
        <v>124</v>
      </c>
      <c r="C29" s="12">
        <f>'Grants Allocation'!C$20*'Comprehensive Breakdown'!$C29</f>
        <v>227997.71530526338</v>
      </c>
      <c r="D29" s="12">
        <f>'Grants Allocation'!D$20*'Comprehensive Breakdown'!$C29</f>
        <v>168761.5950401189</v>
      </c>
      <c r="E29" s="12">
        <f>'Grants Allocation'!E$20*'Comprehensive Breakdown'!$C29</f>
        <v>276650.50762712094</v>
      </c>
      <c r="F29" s="12">
        <f>'Grants Allocation'!F$20*'Comprehensive Breakdown'!$C29</f>
        <v>179266.94431060596</v>
      </c>
      <c r="G29" s="12">
        <f>'Grants Allocation'!G$20*'Comprehensive Breakdown'!$C29</f>
        <v>156218.23818782903</v>
      </c>
      <c r="H29" s="12">
        <f>'Grants Allocation'!H$20*'Comprehensive Breakdown'!$C29</f>
        <v>241104.99952906204</v>
      </c>
    </row>
    <row r="30" spans="1:8" ht="18" customHeight="1">
      <c r="A30" s="77">
        <v>22</v>
      </c>
      <c r="B30" s="9" t="s">
        <v>125</v>
      </c>
      <c r="C30" s="12">
        <f>'Grants Allocation'!C$20*'Comprehensive Breakdown'!$C30</f>
        <v>227997.71530526338</v>
      </c>
      <c r="D30" s="12">
        <f>'Grants Allocation'!D$20*'Comprehensive Breakdown'!$C30</f>
        <v>168761.5950401189</v>
      </c>
      <c r="E30" s="12">
        <f>'Grants Allocation'!E$20*'Comprehensive Breakdown'!$C30</f>
        <v>276650.50762712094</v>
      </c>
      <c r="F30" s="12">
        <f>'Grants Allocation'!F$20*'Comprehensive Breakdown'!$C30</f>
        <v>179266.94431060596</v>
      </c>
      <c r="G30" s="12">
        <f>'Grants Allocation'!G$20*'Comprehensive Breakdown'!$C30</f>
        <v>156218.23818782903</v>
      </c>
      <c r="H30" s="12">
        <f>'Grants Allocation'!H$20*'Comprehensive Breakdown'!$C30</f>
        <v>241104.99952906204</v>
      </c>
    </row>
    <row r="31" spans="1:8" ht="18" customHeight="1">
      <c r="A31" s="77">
        <v>23.2</v>
      </c>
      <c r="B31" s="9" t="s">
        <v>126</v>
      </c>
      <c r="C31" s="12">
        <f>'Grants Allocation'!C$20*'Comprehensive Breakdown'!$C31</f>
        <v>227997.71530526338</v>
      </c>
      <c r="D31" s="12">
        <f>'Grants Allocation'!D$20*'Comprehensive Breakdown'!$C31</f>
        <v>168761.5950401189</v>
      </c>
      <c r="E31" s="12">
        <f>'Grants Allocation'!E$20*'Comprehensive Breakdown'!$C31</f>
        <v>276650.50762712094</v>
      </c>
      <c r="F31" s="12">
        <f>'Grants Allocation'!F$20*'Comprehensive Breakdown'!$C31</f>
        <v>179266.94431060596</v>
      </c>
      <c r="G31" s="12">
        <f>'Grants Allocation'!G$20*'Comprehensive Breakdown'!$C31</f>
        <v>156218.23818782903</v>
      </c>
      <c r="H31" s="12">
        <f>'Grants Allocation'!H$20*'Comprehensive Breakdown'!$C31</f>
        <v>241104.99952906204</v>
      </c>
    </row>
    <row r="32" spans="1:8" ht="18" customHeight="1">
      <c r="A32" s="77">
        <v>23.3</v>
      </c>
      <c r="B32" s="9" t="s">
        <v>127</v>
      </c>
      <c r="C32" s="12">
        <f>'Grants Allocation'!C$20*'Comprehensive Breakdown'!$C32</f>
        <v>227997.71530526338</v>
      </c>
      <c r="D32" s="12">
        <f>'Grants Allocation'!D$20*'Comprehensive Breakdown'!$C32</f>
        <v>168761.5950401189</v>
      </c>
      <c r="E32" s="12">
        <f>'Grants Allocation'!E$20*'Comprehensive Breakdown'!$C32</f>
        <v>276650.50762712094</v>
      </c>
      <c r="F32" s="12">
        <f>'Grants Allocation'!F$20*'Comprehensive Breakdown'!$C32</f>
        <v>179266.94431060596</v>
      </c>
      <c r="G32" s="12">
        <f>'Grants Allocation'!G$20*'Comprehensive Breakdown'!$C32</f>
        <v>156218.23818782903</v>
      </c>
      <c r="H32" s="12">
        <f>'Grants Allocation'!H$20*'Comprehensive Breakdown'!$C32</f>
        <v>241104.99952906204</v>
      </c>
    </row>
    <row r="33" spans="1:8" ht="18" customHeight="1">
      <c r="A33" s="77">
        <v>24</v>
      </c>
      <c r="B33" s="9" t="s">
        <v>128</v>
      </c>
      <c r="C33" s="12">
        <f>'Grants Allocation'!C$20*'Comprehensive Breakdown'!$C33</f>
        <v>683993.14591579</v>
      </c>
      <c r="D33" s="12">
        <f>'Grants Allocation'!D$20*'Comprehensive Breakdown'!$C33</f>
        <v>506284.7851203566</v>
      </c>
      <c r="E33" s="12">
        <f>'Grants Allocation'!E$20*'Comprehensive Breakdown'!$C33</f>
        <v>829951.5228813626</v>
      </c>
      <c r="F33" s="12">
        <f>'Grants Allocation'!F$20*'Comprehensive Breakdown'!$C33</f>
        <v>537800.8329318179</v>
      </c>
      <c r="G33" s="12">
        <f>'Grants Allocation'!G$20*'Comprehensive Breakdown'!$C33</f>
        <v>468654.714563487</v>
      </c>
      <c r="H33" s="12">
        <f>'Grants Allocation'!H$20*'Comprehensive Breakdown'!$C33</f>
        <v>723314.998587186</v>
      </c>
    </row>
    <row r="34" spans="1:8" ht="18" customHeight="1">
      <c r="A34" s="70">
        <v>25.1</v>
      </c>
      <c r="B34" s="9" t="s">
        <v>88</v>
      </c>
      <c r="C34" s="12">
        <f>'Grants Allocation'!C$20*'Comprehensive Breakdown'!$C34</f>
        <v>227997.71530526338</v>
      </c>
      <c r="D34" s="12">
        <f>'Grants Allocation'!D$20*'Comprehensive Breakdown'!$C34</f>
        <v>168761.5950401189</v>
      </c>
      <c r="E34" s="12">
        <f>'Grants Allocation'!E$20*'Comprehensive Breakdown'!$C34</f>
        <v>276650.50762712094</v>
      </c>
      <c r="F34" s="12">
        <f>'Grants Allocation'!F$20*'Comprehensive Breakdown'!$C34</f>
        <v>179266.94431060596</v>
      </c>
      <c r="G34" s="12">
        <f>'Grants Allocation'!G$20*'Comprehensive Breakdown'!$C34</f>
        <v>156218.23818782903</v>
      </c>
      <c r="H34" s="12">
        <f>'Grants Allocation'!H$20*'Comprehensive Breakdown'!$C34</f>
        <v>241104.99952906204</v>
      </c>
    </row>
    <row r="35" spans="1:8" ht="18" customHeight="1">
      <c r="A35" s="77">
        <v>25.2</v>
      </c>
      <c r="B35" s="9" t="s">
        <v>129</v>
      </c>
      <c r="C35" s="12">
        <f>'Grants Allocation'!C$20*'Comprehensive Breakdown'!$C35</f>
        <v>455995.43061052676</v>
      </c>
      <c r="D35" s="12">
        <f>'Grants Allocation'!D$20*'Comprehensive Breakdown'!$C35</f>
        <v>337523.1900802378</v>
      </c>
      <c r="E35" s="12">
        <f>'Grants Allocation'!E$20*'Comprehensive Breakdown'!$C35</f>
        <v>553301.0152542419</v>
      </c>
      <c r="F35" s="12">
        <f>'Grants Allocation'!F$20*'Comprehensive Breakdown'!$C35</f>
        <v>358533.8886212119</v>
      </c>
      <c r="G35" s="12">
        <f>'Grants Allocation'!G$20*'Comprehensive Breakdown'!$C35</f>
        <v>312436.47637565807</v>
      </c>
      <c r="H35" s="12">
        <f>'Grants Allocation'!H$20*'Comprehensive Breakdown'!$C35</f>
        <v>482209.9990581241</v>
      </c>
    </row>
    <row r="36" spans="1:8" ht="18" customHeight="1">
      <c r="A36" s="70">
        <v>26</v>
      </c>
      <c r="B36" s="9" t="s">
        <v>90</v>
      </c>
      <c r="C36" s="12">
        <f>'Grants Allocation'!C$20*'Comprehensive Breakdown'!$C36</f>
        <v>227997.71530526338</v>
      </c>
      <c r="D36" s="12">
        <f>'Grants Allocation'!D$20*'Comprehensive Breakdown'!$C36</f>
        <v>168761.5950401189</v>
      </c>
      <c r="E36" s="12">
        <f>'Grants Allocation'!E$20*'Comprehensive Breakdown'!$C36</f>
        <v>276650.50762712094</v>
      </c>
      <c r="F36" s="12">
        <f>'Grants Allocation'!F$20*'Comprehensive Breakdown'!$C36</f>
        <v>179266.94431060596</v>
      </c>
      <c r="G36" s="12">
        <f>'Grants Allocation'!G$20*'Comprehensive Breakdown'!$C36</f>
        <v>156218.23818782903</v>
      </c>
      <c r="H36" s="12">
        <f>'Grants Allocation'!H$20*'Comprehensive Breakdown'!$C36</f>
        <v>241104.99952906204</v>
      </c>
    </row>
    <row r="37" spans="1:8" ht="18" customHeight="1">
      <c r="A37" s="77"/>
      <c r="B37" s="13" t="s">
        <v>159</v>
      </c>
      <c r="C37" s="11">
        <f aca="true" t="shared" si="2" ref="C37:H37">SUM(C28:C35)</f>
        <v>2735972.5836631604</v>
      </c>
      <c r="D37" s="11">
        <f t="shared" si="2"/>
        <v>2025139.1404814266</v>
      </c>
      <c r="E37" s="11">
        <f t="shared" si="2"/>
        <v>3319806.091525451</v>
      </c>
      <c r="F37" s="11">
        <f t="shared" si="2"/>
        <v>2151203.3317272714</v>
      </c>
      <c r="G37" s="11">
        <f t="shared" si="2"/>
        <v>1874618.8582539484</v>
      </c>
      <c r="H37" s="11">
        <f t="shared" si="2"/>
        <v>2893259.9943487444</v>
      </c>
    </row>
    <row r="38" spans="1:2" ht="18" customHeight="1">
      <c r="A38" s="77"/>
      <c r="B38" s="10" t="s">
        <v>138</v>
      </c>
    </row>
    <row r="39" spans="1:8" ht="18" customHeight="1">
      <c r="A39" s="77">
        <v>41</v>
      </c>
      <c r="B39" s="9" t="s">
        <v>139</v>
      </c>
      <c r="C39" s="12">
        <f>'Grants Allocation'!C19</f>
        <v>20975789.808084227</v>
      </c>
      <c r="D39" s="12">
        <f>'Grants Allocation'!D19</f>
        <v>15526066.743690934</v>
      </c>
      <c r="E39" s="12">
        <f>'Grants Allocation'!E19</f>
        <v>25451846.70169512</v>
      </c>
      <c r="F39" s="12">
        <f>'Grants Allocation'!F19</f>
        <v>16492558.876575746</v>
      </c>
      <c r="G39" s="12">
        <f>'Grants Allocation'!G19</f>
        <v>14372077.913280267</v>
      </c>
      <c r="H39" s="12">
        <f>'Grants Allocation'!H19</f>
        <v>22181659.956673704</v>
      </c>
    </row>
    <row r="40" spans="2:8" ht="18" customHeight="1">
      <c r="B40" s="13" t="s">
        <v>159</v>
      </c>
      <c r="C40" s="11">
        <f aca="true" t="shared" si="3" ref="C40:H40">C39</f>
        <v>20975789.808084227</v>
      </c>
      <c r="D40" s="11">
        <f t="shared" si="3"/>
        <v>15526066.743690934</v>
      </c>
      <c r="E40" s="11">
        <f t="shared" si="3"/>
        <v>25451846.70169512</v>
      </c>
      <c r="F40" s="11">
        <f t="shared" si="3"/>
        <v>16492558.876575746</v>
      </c>
      <c r="G40" s="11">
        <f t="shared" si="3"/>
        <v>14372077.913280267</v>
      </c>
      <c r="H40" s="11">
        <f t="shared" si="3"/>
        <v>22181659.956673704</v>
      </c>
    </row>
    <row r="41" spans="1:8" s="15" customFormat="1" ht="18" customHeight="1">
      <c r="A41" s="78"/>
      <c r="B41" s="14" t="s">
        <v>160</v>
      </c>
      <c r="C41" s="30">
        <f aca="true" t="shared" si="4" ref="C41:H41">C40+C37+C26+C17</f>
        <v>35140702.42587077</v>
      </c>
      <c r="D41" s="30">
        <f t="shared" si="4"/>
        <v>26040603.516394526</v>
      </c>
      <c r="E41" s="30">
        <f t="shared" si="4"/>
        <v>43197239.04949382</v>
      </c>
      <c r="F41" s="30">
        <f t="shared" si="4"/>
        <v>28206973.42650059</v>
      </c>
      <c r="G41" s="30">
        <f t="shared" si="4"/>
        <v>28673650.746090293</v>
      </c>
      <c r="H41" s="30">
        <f t="shared" si="4"/>
        <v>38740830.83565002</v>
      </c>
    </row>
    <row r="43" spans="2:4" ht="18" customHeight="1">
      <c r="B43" s="10" t="s">
        <v>147</v>
      </c>
      <c r="C43" s="29">
        <f>SUM(C41:H41)</f>
        <v>200000000.00000003</v>
      </c>
      <c r="D43" s="10"/>
    </row>
    <row r="44" spans="3:4" ht="18" customHeight="1">
      <c r="C44" s="10"/>
      <c r="D44" s="10"/>
    </row>
    <row r="45" spans="2:4" ht="18" customHeight="1">
      <c r="B45" s="10" t="s">
        <v>149</v>
      </c>
      <c r="C45" s="29">
        <f>'Comprehensive Breakdown'!C43</f>
        <v>200000000</v>
      </c>
      <c r="D45" s="10"/>
    </row>
    <row r="46" spans="3:4" ht="18" customHeight="1">
      <c r="C46" s="10"/>
      <c r="D46" s="10"/>
    </row>
    <row r="47" spans="1:4" s="15" customFormat="1" ht="18" customHeight="1">
      <c r="A47" s="78"/>
      <c r="B47" s="16" t="s">
        <v>148</v>
      </c>
      <c r="C47" s="30">
        <f>C45-C43</f>
        <v>0</v>
      </c>
      <c r="D47" s="14"/>
    </row>
  </sheetData>
  <printOptions/>
  <pageMargins left="1" right="1" top="1" bottom="1" header="0.5" footer="0.5"/>
  <pageSetup horizontalDpi="300" verticalDpi="300" orientation="landscape" r:id="rId1"/>
  <headerFooter alignWithMargins="0">
    <oddHeader>&amp;C&amp;"Times New Roman,Bold"&amp;12&amp;U&amp;A&amp;R&amp;"Times New Roman,Regular"&amp;12Appendix B</oddHeader>
    <oddFooter>&amp;C&amp;"Times New Roman,Regular"&amp;12B-&amp;P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C20">
      <selection activeCell="I34" sqref="I34"/>
    </sheetView>
  </sheetViews>
  <sheetFormatPr defaultColWidth="9.140625" defaultRowHeight="18" customHeight="1"/>
  <cols>
    <col min="1" max="1" width="5.00390625" style="70" bestFit="1" customWidth="1"/>
    <col min="2" max="2" width="19.7109375" style="9" customWidth="1"/>
    <col min="3" max="8" width="14.140625" style="9" bestFit="1" customWidth="1"/>
    <col min="9" max="16384" width="9.140625" style="9" customWidth="1"/>
  </cols>
  <sheetData>
    <row r="1" spans="1:8" s="10" customFormat="1" ht="18" customHeight="1">
      <c r="A1" s="70"/>
      <c r="B1" s="71"/>
      <c r="C1" s="55" t="s">
        <v>67</v>
      </c>
      <c r="D1" s="55" t="s">
        <v>68</v>
      </c>
      <c r="E1" s="55" t="s">
        <v>71</v>
      </c>
      <c r="F1" s="55" t="s">
        <v>66</v>
      </c>
      <c r="G1" s="55" t="s">
        <v>70</v>
      </c>
      <c r="H1" s="55" t="s">
        <v>69</v>
      </c>
    </row>
    <row r="2" spans="2:11" s="55" customFormat="1" ht="18" customHeight="1">
      <c r="B2" s="29" t="s">
        <v>79</v>
      </c>
      <c r="C2" s="56"/>
      <c r="D2" s="56"/>
      <c r="E2" s="56"/>
      <c r="F2" s="56"/>
      <c r="G2" s="56"/>
      <c r="H2" s="56"/>
      <c r="I2" s="56"/>
      <c r="J2" s="56"/>
      <c r="K2" s="56"/>
    </row>
    <row r="3" spans="1:8" ht="18" customHeight="1">
      <c r="A3" s="70">
        <v>11.1</v>
      </c>
      <c r="B3" s="9" t="s">
        <v>150</v>
      </c>
      <c r="C3" s="12">
        <f>'Full-time permanent staff costs'!C22+'Full-time permanent staff costs'!D41</f>
        <v>1773078.6081250098</v>
      </c>
      <c r="D3" s="12">
        <f>'Full-time permanent staff costs'!D22+'Full-time permanent staff costs'!E41</f>
        <v>2918873.102837648</v>
      </c>
      <c r="E3" s="12">
        <f>'Full-time permanent staff costs'!E22+'Full-time permanent staff costs'!F41</f>
        <v>1938218.2678149461</v>
      </c>
      <c r="F3" s="12">
        <f>'Full-time permanent staff costs'!F22+'Full-time permanent staff costs'!G41</f>
        <v>1864303.2726004038</v>
      </c>
      <c r="G3" s="12">
        <f>'Full-time permanent staff costs'!G22+'Full-time permanent staff costs'!H41</f>
        <v>2436239.227124871</v>
      </c>
      <c r="H3" s="12">
        <f>'Full-time permanent staff costs'!H22+'Full-time permanent staff costs'!I41</f>
        <v>13137683.570000002</v>
      </c>
    </row>
    <row r="4" spans="1:8" ht="18" customHeight="1">
      <c r="A4" s="70">
        <v>11.3</v>
      </c>
      <c r="B4" s="9" t="s">
        <v>151</v>
      </c>
      <c r="C4" s="12">
        <f>'Grants Allocation'!C$20*'Comprehensive Breakdown'!$D4</f>
        <v>167201.12687184868</v>
      </c>
      <c r="D4" s="12">
        <f>'Grants Allocation'!D$20*'Comprehensive Breakdown'!$D4</f>
        <v>123760.57727428932</v>
      </c>
      <c r="E4" s="12">
        <f>'Grants Allocation'!E$20*'Comprehensive Breakdown'!$D4</f>
        <v>202880.43923155815</v>
      </c>
      <c r="F4" s="12">
        <f>'Grants Allocation'!F$20*'Comprehensive Breakdown'!$D4</f>
        <v>131464.62919365187</v>
      </c>
      <c r="G4" s="12">
        <f>'Grants Allocation'!G$20*'Comprehensive Breakdown'!$D4</f>
        <v>114561.96141250058</v>
      </c>
      <c r="H4" s="12">
        <f>'Grants Allocation'!H$20*'Comprehensive Breakdown'!$D4</f>
        <v>176813.29640396216</v>
      </c>
    </row>
    <row r="5" spans="1:8" ht="18" customHeight="1">
      <c r="A5" s="70">
        <v>11.5</v>
      </c>
      <c r="B5" s="9" t="s">
        <v>152</v>
      </c>
      <c r="C5" s="12">
        <f>'Grants Allocation'!C$20*'Comprehensive Breakdown'!$D5</f>
        <v>918895.5743017208</v>
      </c>
      <c r="D5" s="12">
        <f>'Grants Allocation'!D$20*'Comprehensive Breakdown'!$D5</f>
        <v>680157.1787104858</v>
      </c>
      <c r="E5" s="12">
        <f>'Grants Allocation'!E$20*'Comprehensive Breakdown'!$D5</f>
        <v>1114980.1512112666</v>
      </c>
      <c r="F5" s="12">
        <f>'Grants Allocation'!F$20*'Comprehensive Breakdown'!$D5</f>
        <v>722496.7211844956</v>
      </c>
      <c r="G5" s="12">
        <f>'Grants Allocation'!G$20*'Comprehensive Breakdown'!$D5</f>
        <v>629603.8866170793</v>
      </c>
      <c r="H5" s="12">
        <f>'Grants Allocation'!H$20*'Comprehensive Breakdown'!$D5</f>
        <v>971721.6539325517</v>
      </c>
    </row>
    <row r="6" spans="1:8" ht="18" customHeight="1">
      <c r="A6" s="70">
        <v>11.9</v>
      </c>
      <c r="B6" s="9" t="s">
        <v>153</v>
      </c>
      <c r="C6" s="12">
        <f>'Grants Allocation'!C$20*'Comprehensive Breakdown'!$D6</f>
        <v>3589899.355946651</v>
      </c>
      <c r="D6" s="12">
        <f>'Grants Allocation'!D$20*'Comprehensive Breakdown'!$D6</f>
        <v>2657207.071272203</v>
      </c>
      <c r="E6" s="12">
        <f>'Grants Allocation'!E$20*'Comprehensive Breakdown'!$D6</f>
        <v>4355953.645514397</v>
      </c>
      <c r="F6" s="12">
        <f>'Grants Allocation'!F$20*'Comprehensive Breakdown'!$D6</f>
        <v>2822617.2664121957</v>
      </c>
      <c r="G6" s="12">
        <f>'Grants Allocation'!G$20*'Comprehensive Breakdown'!$D6</f>
        <v>2459707.773416717</v>
      </c>
      <c r="H6" s="12">
        <f>'Grants Allocation'!H$20*'Comprehensive Breakdown'!$D6</f>
        <v>3796277.8765832493</v>
      </c>
    </row>
    <row r="7" spans="1:8" ht="18" customHeight="1">
      <c r="A7" s="70">
        <v>12.1</v>
      </c>
      <c r="B7" s="9" t="s">
        <v>82</v>
      </c>
      <c r="C7" s="12">
        <f>'Grants Allocation'!C$20*'Comprehensive Breakdown'!$D7</f>
        <v>685087.7644562939</v>
      </c>
      <c r="D7" s="12">
        <f>'Grants Allocation'!D$20*'Comprehensive Breakdown'!$D7</f>
        <v>507095.01065532997</v>
      </c>
      <c r="E7" s="12">
        <f>'Grants Allocation'!E$20*'Comprehensive Breakdown'!$D7</f>
        <v>831279.7237998806</v>
      </c>
      <c r="F7" s="12">
        <f>'Grants Allocation'!F$20*'Comprehensive Breakdown'!$D7</f>
        <v>538661.4947181832</v>
      </c>
      <c r="G7" s="12">
        <f>'Grants Allocation'!G$20*'Comprehensive Breakdown'!$D7</f>
        <v>469404.7193591767</v>
      </c>
      <c r="H7" s="12">
        <f>'Grants Allocation'!H$20*'Comprehensive Breakdown'!$D7</f>
        <v>724472.5452860172</v>
      </c>
    </row>
    <row r="8" spans="1:8" ht="18" customHeight="1">
      <c r="A8" s="70">
        <v>21</v>
      </c>
      <c r="B8" s="9" t="s">
        <v>83</v>
      </c>
      <c r="C8" s="12">
        <f>'Grants Allocation'!C$20*'Comprehensive Breakdown'!$D8</f>
        <v>262236.55854065635</v>
      </c>
      <c r="D8" s="12">
        <f>'Grants Allocation'!D$20*'Comprehensive Breakdown'!$D8</f>
        <v>194104.83933095372</v>
      </c>
      <c r="E8" s="12">
        <f>'Grants Allocation'!E$20*'Comprehensive Breakdown'!$D8</f>
        <v>318195.63166029233</v>
      </c>
      <c r="F8" s="12">
        <f>'Grants Allocation'!F$20*'Comprehensive Breakdown'!$D8</f>
        <v>206187.79654511545</v>
      </c>
      <c r="G8" s="12">
        <f>'Grants Allocation'!G$20*'Comprehensive Breakdown'!$D8</f>
        <v>179677.82312560352</v>
      </c>
      <c r="H8" s="12">
        <f>'Grants Allocation'!H$20*'Comprehensive Breakdown'!$D8</f>
        <v>277312.1881453704</v>
      </c>
    </row>
    <row r="9" spans="1:8" ht="18" customHeight="1">
      <c r="A9" s="70">
        <v>22</v>
      </c>
      <c r="B9" s="9" t="s">
        <v>84</v>
      </c>
      <c r="C9" s="12">
        <f>'Grants Allocation'!C$20*'Comprehensive Breakdown'!$D9</f>
        <v>46785.3860123671</v>
      </c>
      <c r="D9" s="12">
        <f>'Grants Allocation'!D$20*'Comprehensive Breakdown'!$D9</f>
        <v>34630.06792609061</v>
      </c>
      <c r="E9" s="12">
        <f>'Grants Allocation'!E$20*'Comprehensive Breakdown'!$D9</f>
        <v>56768.993375756705</v>
      </c>
      <c r="F9" s="12">
        <f>'Grants Allocation'!F$20*'Comprehensive Breakdown'!$D9</f>
        <v>36785.77733816265</v>
      </c>
      <c r="G9" s="12">
        <f>'Grants Allocation'!G$20*'Comprehensive Breakdown'!$D9</f>
        <v>32056.157080363355</v>
      </c>
      <c r="H9" s="12">
        <f>'Grants Allocation'!H$20*'Comprehensive Breakdown'!$D9</f>
        <v>49475.01538502631</v>
      </c>
    </row>
    <row r="10" spans="1:8" ht="18" customHeight="1">
      <c r="A10" s="70">
        <v>23.2</v>
      </c>
      <c r="B10" s="9" t="s">
        <v>85</v>
      </c>
      <c r="C10" s="12">
        <f>'Grants Allocation'!C$20*'Comprehensive Breakdown'!$D10</f>
        <v>1976214.7051623862</v>
      </c>
      <c r="D10" s="12">
        <f>'Grants Allocation'!D$20*'Comprehensive Breakdown'!$D10</f>
        <v>1462774.069198067</v>
      </c>
      <c r="E10" s="12">
        <f>'Grants Allocation'!E$20*'Comprehensive Breakdown'!$D10</f>
        <v>2397922.280191963</v>
      </c>
      <c r="F10" s="12">
        <f>'Grants Allocation'!F$20*'Comprehensive Breakdown'!$D10</f>
        <v>1553831.23476399</v>
      </c>
      <c r="G10" s="12">
        <f>'Grants Allocation'!G$20*'Comprehensive Breakdown'!$D10</f>
        <v>1354052.0750745481</v>
      </c>
      <c r="H10" s="12">
        <f>'Grants Allocation'!H$20*'Comprehensive Breakdown'!$D10</f>
        <v>2089824.6498635113</v>
      </c>
    </row>
    <row r="11" spans="1:8" ht="18" customHeight="1">
      <c r="A11" s="70">
        <v>23.3</v>
      </c>
      <c r="B11" s="9" t="s">
        <v>86</v>
      </c>
      <c r="C11" s="12">
        <f>'Grants Allocation'!C$20*'Comprehensive Breakdown'!$D11</f>
        <v>289844.8234238167</v>
      </c>
      <c r="D11" s="12">
        <f>'Grants Allocation'!D$20*'Comprehensive Breakdown'!$D11</f>
        <v>214540.19681571657</v>
      </c>
      <c r="E11" s="12">
        <f>'Grants Allocation'!E$20*'Comprehensive Breakdown'!$D11</f>
        <v>351695.267761488</v>
      </c>
      <c r="F11" s="12">
        <f>'Grants Allocation'!F$20*'Comprehensive Breakdown'!$D11</f>
        <v>227895.24776538525</v>
      </c>
      <c r="G11" s="12">
        <f>'Grants Allocation'!G$20*'Comprehensive Breakdown'!$D11</f>
        <v>198594.3043442671</v>
      </c>
      <c r="H11" s="12">
        <f>'Grants Allocation'!H$20*'Comprehensive Breakdown'!$D11</f>
        <v>306507.61531331507</v>
      </c>
    </row>
    <row r="12" spans="1:8" ht="18" customHeight="1">
      <c r="A12" s="70">
        <v>24</v>
      </c>
      <c r="B12" s="9" t="s">
        <v>87</v>
      </c>
      <c r="C12" s="12">
        <f>'Grants Allocation'!C$20*'Comprehensive Breakdown'!$D12</f>
        <v>86312.66182575062</v>
      </c>
      <c r="D12" s="12">
        <f>'Grants Allocation'!D$20*'Comprehensive Breakdown'!$D12</f>
        <v>63887.75634163467</v>
      </c>
      <c r="E12" s="12">
        <f>'Grants Allocation'!E$20*'Comprehensive Breakdown'!$D12</f>
        <v>104731.05696156374</v>
      </c>
      <c r="F12" s="12">
        <f>'Grants Allocation'!F$20*'Comprehensive Breakdown'!$D12</f>
        <v>67864.74645195625</v>
      </c>
      <c r="G12" s="12">
        <f>'Grants Allocation'!G$20*'Comprehensive Breakdown'!$D12</f>
        <v>59139.24157383596</v>
      </c>
      <c r="H12" s="12">
        <f>'Grants Allocation'!H$20*'Comprehensive Breakdown'!$D12</f>
        <v>91274.66150696678</v>
      </c>
    </row>
    <row r="13" spans="1:8" ht="18" customHeight="1">
      <c r="A13" s="70">
        <v>25.1</v>
      </c>
      <c r="B13" s="9" t="s">
        <v>88</v>
      </c>
      <c r="C13" s="12">
        <f>'Grants Allocation'!C$20*'Comprehensive Breakdown'!$D13</f>
        <v>82342.2793817661</v>
      </c>
      <c r="D13" s="12">
        <f>'Grants Allocation'!D$20*'Comprehensive Breakdown'!$D13</f>
        <v>60948.91954991947</v>
      </c>
      <c r="E13" s="12">
        <f>'Grants Allocation'!E$20*'Comprehensive Breakdown'!$D13</f>
        <v>99913.4283413318</v>
      </c>
      <c r="F13" s="12">
        <f>'Grants Allocation'!F$20*'Comprehensive Breakdown'!$D13</f>
        <v>64742.96811516625</v>
      </c>
      <c r="G13" s="12">
        <f>'Grants Allocation'!G$20*'Comprehensive Breakdown'!$D13</f>
        <v>56418.83646143951</v>
      </c>
      <c r="H13" s="12">
        <f>'Grants Allocation'!H$20*'Comprehensive Breakdown'!$D13</f>
        <v>87076.02707764631</v>
      </c>
    </row>
    <row r="14" spans="1:8" ht="18" customHeight="1">
      <c r="A14" s="70">
        <v>25.2</v>
      </c>
      <c r="B14" s="9" t="s">
        <v>89</v>
      </c>
      <c r="C14" s="12">
        <f>'Grants Allocation'!C$20*'Comprehensive Breakdown'!$D14</f>
        <v>0</v>
      </c>
      <c r="D14" s="12">
        <f>'Grants Allocation'!D$20*'Comprehensive Breakdown'!$D14</f>
        <v>0</v>
      </c>
      <c r="E14" s="12">
        <f>'Grants Allocation'!E$20*'Comprehensive Breakdown'!$D14</f>
        <v>0</v>
      </c>
      <c r="F14" s="12">
        <f>'Grants Allocation'!F$20*'Comprehensive Breakdown'!$D14</f>
        <v>0</v>
      </c>
      <c r="G14" s="12">
        <f>'Grants Allocation'!G$20*'Comprehensive Breakdown'!$D14</f>
        <v>0</v>
      </c>
      <c r="H14" s="12">
        <f>'Grants Allocation'!H$20*'Comprehensive Breakdown'!$D14</f>
        <v>0</v>
      </c>
    </row>
    <row r="15" spans="1:8" ht="18" customHeight="1">
      <c r="A15" s="70">
        <v>26</v>
      </c>
      <c r="B15" s="9" t="s">
        <v>90</v>
      </c>
      <c r="C15" s="12">
        <f>'Grants Allocation'!C$20*'Comprehensive Breakdown'!$D15</f>
        <v>289844.8234238167</v>
      </c>
      <c r="D15" s="12">
        <f>'Grants Allocation'!D$20*'Comprehensive Breakdown'!$D15</f>
        <v>214540.19681571657</v>
      </c>
      <c r="E15" s="12">
        <f>'Grants Allocation'!E$20*'Comprehensive Breakdown'!$D15</f>
        <v>351695.267761488</v>
      </c>
      <c r="F15" s="12">
        <f>'Grants Allocation'!F$20*'Comprehensive Breakdown'!$D15</f>
        <v>227895.24776538525</v>
      </c>
      <c r="G15" s="12">
        <f>'Grants Allocation'!G$20*'Comprehensive Breakdown'!$D15</f>
        <v>198594.3043442671</v>
      </c>
      <c r="H15" s="12">
        <f>'Grants Allocation'!H$20*'Comprehensive Breakdown'!$D15</f>
        <v>306507.61531331507</v>
      </c>
    </row>
    <row r="16" spans="1:8" ht="18" customHeight="1">
      <c r="A16" s="70">
        <v>31</v>
      </c>
      <c r="B16" s="9" t="s">
        <v>91</v>
      </c>
      <c r="C16" s="12">
        <f>'Grants Allocation'!C$20*'Comprehensive Breakdown'!$D16</f>
        <v>382068.1763313947</v>
      </c>
      <c r="D16" s="12">
        <f>'Grants Allocation'!D$20*'Comprehensive Breakdown'!$D16</f>
        <v>282802.98671162635</v>
      </c>
      <c r="E16" s="12">
        <f>'Grants Allocation'!E$20*'Comprehensive Breakdown'!$D16</f>
        <v>463598.3075037796</v>
      </c>
      <c r="F16" s="12">
        <f>'Grants Allocation'!F$20*'Comprehensive Breakdown'!$D16</f>
        <v>300407.3720543714</v>
      </c>
      <c r="G16" s="12">
        <f>'Grants Allocation'!G$20*'Comprehensive Breakdown'!$D16</f>
        <v>261783.4011810793</v>
      </c>
      <c r="H16" s="12">
        <f>'Grants Allocation'!H$20*'Comprehensive Breakdown'!$D16</f>
        <v>404032.76564027887</v>
      </c>
    </row>
    <row r="17" spans="2:8" ht="18" customHeight="1">
      <c r="B17" s="13" t="s">
        <v>159</v>
      </c>
      <c r="C17" s="11">
        <f aca="true" t="shared" si="0" ref="C17:H17">SUM(C6:C16)</f>
        <v>7690636.5345049</v>
      </c>
      <c r="D17" s="11">
        <f t="shared" si="0"/>
        <v>5692531.114617257</v>
      </c>
      <c r="E17" s="11">
        <f t="shared" si="0"/>
        <v>9331753.60287194</v>
      </c>
      <c r="F17" s="11">
        <f t="shared" si="0"/>
        <v>6046889.151929911</v>
      </c>
      <c r="G17" s="11">
        <f t="shared" si="0"/>
        <v>5269428.635961297</v>
      </c>
      <c r="H17" s="11">
        <f t="shared" si="0"/>
        <v>8132760.960114696</v>
      </c>
    </row>
    <row r="18" ht="18" customHeight="1">
      <c r="B18" s="10" t="s">
        <v>136</v>
      </c>
    </row>
    <row r="19" spans="1:8" ht="18" customHeight="1">
      <c r="A19" s="70">
        <v>11.3</v>
      </c>
      <c r="B19" s="9" t="s">
        <v>151</v>
      </c>
      <c r="C19" s="12">
        <f>'Needs Assessment'!C$15*'Comprehensive Breakdown'!$D19</f>
        <v>0</v>
      </c>
      <c r="D19" s="12">
        <f>'Needs Assessment'!D$15*'Comprehensive Breakdown'!$D19</f>
        <v>0</v>
      </c>
      <c r="E19" s="12">
        <f>'Needs Assessment'!E$15*'Comprehensive Breakdown'!$D19</f>
        <v>0</v>
      </c>
      <c r="F19" s="12">
        <f>'Needs Assessment'!F$15*'Comprehensive Breakdown'!$D19</f>
        <v>0</v>
      </c>
      <c r="G19" s="12">
        <f>'Needs Assessment'!G$15*'Comprehensive Breakdown'!$D19</f>
        <v>0</v>
      </c>
      <c r="H19" s="12">
        <f>'Needs Assessment'!H$15*'Comprehensive Breakdown'!$D19</f>
        <v>0</v>
      </c>
    </row>
    <row r="20" spans="1:8" ht="18" customHeight="1">
      <c r="A20" s="70">
        <v>21</v>
      </c>
      <c r="B20" s="9" t="s">
        <v>83</v>
      </c>
      <c r="C20" s="12">
        <f>'Needs Assessment'!C$15*'Comprehensive Breakdown'!$D20</f>
        <v>0</v>
      </c>
      <c r="D20" s="12">
        <f>'Needs Assessment'!D$15*'Comprehensive Breakdown'!$D20</f>
        <v>0</v>
      </c>
      <c r="E20" s="12">
        <f>'Needs Assessment'!E$15*'Comprehensive Breakdown'!$D20</f>
        <v>0</v>
      </c>
      <c r="F20" s="12">
        <f>'Needs Assessment'!F$15*'Comprehensive Breakdown'!$D20</f>
        <v>0</v>
      </c>
      <c r="G20" s="12">
        <f>'Needs Assessment'!G$15*'Comprehensive Breakdown'!$D20</f>
        <v>0</v>
      </c>
      <c r="H20" s="12">
        <f>'Needs Assessment'!H$15*'Comprehensive Breakdown'!$D20</f>
        <v>0</v>
      </c>
    </row>
    <row r="21" spans="1:8" ht="18" customHeight="1">
      <c r="A21" s="70">
        <v>22</v>
      </c>
      <c r="B21" s="9" t="s">
        <v>84</v>
      </c>
      <c r="C21" s="12">
        <f>'Needs Assessment'!C$15*'Comprehensive Breakdown'!$D21</f>
        <v>0</v>
      </c>
      <c r="D21" s="12">
        <f>'Needs Assessment'!D$15*'Comprehensive Breakdown'!$D21</f>
        <v>0</v>
      </c>
      <c r="E21" s="12">
        <f>'Needs Assessment'!E$15*'Comprehensive Breakdown'!$D21</f>
        <v>0</v>
      </c>
      <c r="F21" s="12">
        <f>'Needs Assessment'!F$15*'Comprehensive Breakdown'!$D21</f>
        <v>0</v>
      </c>
      <c r="G21" s="12">
        <f>'Needs Assessment'!G$15*'Comprehensive Breakdown'!$D21</f>
        <v>0</v>
      </c>
      <c r="H21" s="12">
        <f>'Needs Assessment'!H$15*'Comprehensive Breakdown'!$D21</f>
        <v>0</v>
      </c>
    </row>
    <row r="22" spans="1:8" ht="18" customHeight="1">
      <c r="A22" s="70">
        <v>23.3</v>
      </c>
      <c r="B22" s="9" t="s">
        <v>86</v>
      </c>
      <c r="C22" s="12">
        <f>'Needs Assessment'!C$15*'Comprehensive Breakdown'!$D22</f>
        <v>0</v>
      </c>
      <c r="D22" s="12">
        <f>'Needs Assessment'!D$15*'Comprehensive Breakdown'!$D22</f>
        <v>0</v>
      </c>
      <c r="E22" s="12">
        <f>'Needs Assessment'!E$15*'Comprehensive Breakdown'!$D22</f>
        <v>0</v>
      </c>
      <c r="F22" s="12">
        <f>'Needs Assessment'!F$15*'Comprehensive Breakdown'!$D22</f>
        <v>0</v>
      </c>
      <c r="G22" s="12">
        <f>'Needs Assessment'!G$15*'Comprehensive Breakdown'!$D22</f>
        <v>0</v>
      </c>
      <c r="H22" s="12">
        <f>'Needs Assessment'!H$15*'Comprehensive Breakdown'!$D22</f>
        <v>0</v>
      </c>
    </row>
    <row r="23" spans="1:8" ht="18" customHeight="1">
      <c r="A23" s="70">
        <v>24</v>
      </c>
      <c r="B23" s="9" t="s">
        <v>87</v>
      </c>
      <c r="C23" s="12">
        <f>'Needs Assessment'!C$15*'Comprehensive Breakdown'!$D23</f>
        <v>0</v>
      </c>
      <c r="D23" s="12">
        <f>'Needs Assessment'!D$15*'Comprehensive Breakdown'!$D23</f>
        <v>0</v>
      </c>
      <c r="E23" s="12">
        <f>'Needs Assessment'!E$15*'Comprehensive Breakdown'!$D23</f>
        <v>0</v>
      </c>
      <c r="F23" s="12">
        <f>'Needs Assessment'!F$15*'Comprehensive Breakdown'!$D23</f>
        <v>0</v>
      </c>
      <c r="G23" s="12">
        <f>'Needs Assessment'!G$15*'Comprehensive Breakdown'!$D23</f>
        <v>0</v>
      </c>
      <c r="H23" s="12">
        <f>'Needs Assessment'!H$15*'Comprehensive Breakdown'!$D23</f>
        <v>0</v>
      </c>
    </row>
    <row r="24" spans="1:8" ht="18" customHeight="1">
      <c r="A24" s="70">
        <v>25.1</v>
      </c>
      <c r="B24" s="9" t="s">
        <v>88</v>
      </c>
      <c r="C24" s="12">
        <f>'Needs Assessment'!C$15*'Comprehensive Breakdown'!$D24</f>
        <v>0</v>
      </c>
      <c r="D24" s="12">
        <f>'Needs Assessment'!D$15*'Comprehensive Breakdown'!$D24</f>
        <v>0</v>
      </c>
      <c r="E24" s="12">
        <f>'Needs Assessment'!E$15*'Comprehensive Breakdown'!$D24</f>
        <v>0</v>
      </c>
      <c r="F24" s="12">
        <f>'Needs Assessment'!F$15*'Comprehensive Breakdown'!$D24</f>
        <v>0</v>
      </c>
      <c r="G24" s="12">
        <f>'Needs Assessment'!G$15*'Comprehensive Breakdown'!$D24</f>
        <v>0</v>
      </c>
      <c r="H24" s="12">
        <f>'Needs Assessment'!H$15*'Comprehensive Breakdown'!$D24</f>
        <v>0</v>
      </c>
    </row>
    <row r="25" spans="2:8" ht="18" customHeight="1">
      <c r="B25" s="13" t="s">
        <v>159</v>
      </c>
      <c r="C25" s="11">
        <f aca="true" t="shared" si="1" ref="C25:H25">SUM(C19:C24)</f>
        <v>0</v>
      </c>
      <c r="D25" s="11">
        <f t="shared" si="1"/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</row>
    <row r="26" ht="18" customHeight="1">
      <c r="B26" s="10" t="s">
        <v>131</v>
      </c>
    </row>
    <row r="27" spans="1:8" ht="18" customHeight="1">
      <c r="A27" s="77">
        <v>11.3</v>
      </c>
      <c r="B27" s="9" t="s">
        <v>123</v>
      </c>
      <c r="C27" s="12">
        <f>'Grants Allocation'!C$20*'Comprehensive Breakdown'!$D28</f>
        <v>320443.18893770414</v>
      </c>
      <c r="D27" s="12">
        <f>'Grants Allocation'!D$20*'Comprehensive Breakdown'!$D28</f>
        <v>237188.79644238573</v>
      </c>
      <c r="E27" s="12">
        <f>'Grants Allocation'!E$20*'Comprehensive Breakdown'!$D28</f>
        <v>388823.06678633083</v>
      </c>
      <c r="F27" s="12">
        <f>'Grants Allocation'!F$20*'Comprehensive Breakdown'!$D28</f>
        <v>251953.7146637463</v>
      </c>
      <c r="G27" s="12">
        <f>'Grants Allocation'!G$20*'Comprehensive Breakdown'!$D28</f>
        <v>219559.5264983874</v>
      </c>
      <c r="H27" s="12">
        <f>'Grants Allocation'!H$20*'Comprehensive Breakdown'!$D28</f>
        <v>338865.040004779</v>
      </c>
    </row>
    <row r="28" spans="1:8" ht="18" customHeight="1">
      <c r="A28" s="77">
        <v>21</v>
      </c>
      <c r="B28" s="9" t="s">
        <v>124</v>
      </c>
      <c r="C28" s="12">
        <f>'Grants Allocation'!C$20*'Comprehensive Breakdown'!$D29</f>
        <v>160221.59446885207</v>
      </c>
      <c r="D28" s="12">
        <f>'Grants Allocation'!D$20*'Comprehensive Breakdown'!$D29</f>
        <v>118594.39822119287</v>
      </c>
      <c r="E28" s="12">
        <f>'Grants Allocation'!E$20*'Comprehensive Breakdown'!$D29</f>
        <v>194411.53339316542</v>
      </c>
      <c r="F28" s="12">
        <f>'Grants Allocation'!F$20*'Comprehensive Breakdown'!$D29</f>
        <v>125976.85733187315</v>
      </c>
      <c r="G28" s="12">
        <f>'Grants Allocation'!G$20*'Comprehensive Breakdown'!$D29</f>
        <v>109779.7632491937</v>
      </c>
      <c r="H28" s="12">
        <f>'Grants Allocation'!H$20*'Comprehensive Breakdown'!$D29</f>
        <v>169432.5200023895</v>
      </c>
    </row>
    <row r="29" spans="1:8" ht="18" customHeight="1">
      <c r="A29" s="77">
        <v>22</v>
      </c>
      <c r="B29" s="9" t="s">
        <v>125</v>
      </c>
      <c r="C29" s="12">
        <f>'Grants Allocation'!C$20*'Comprehensive Breakdown'!$D30</f>
        <v>160221.59446885207</v>
      </c>
      <c r="D29" s="12">
        <f>'Grants Allocation'!D$20*'Comprehensive Breakdown'!$D30</f>
        <v>118594.39822119287</v>
      </c>
      <c r="E29" s="12">
        <f>'Grants Allocation'!E$20*'Comprehensive Breakdown'!$D30</f>
        <v>194411.53339316542</v>
      </c>
      <c r="F29" s="12">
        <f>'Grants Allocation'!F$20*'Comprehensive Breakdown'!$D30</f>
        <v>125976.85733187315</v>
      </c>
      <c r="G29" s="12">
        <f>'Grants Allocation'!G$20*'Comprehensive Breakdown'!$D30</f>
        <v>109779.7632491937</v>
      </c>
      <c r="H29" s="12">
        <f>'Grants Allocation'!H$20*'Comprehensive Breakdown'!$D30</f>
        <v>169432.5200023895</v>
      </c>
    </row>
    <row r="30" spans="1:8" ht="18" customHeight="1">
      <c r="A30" s="77">
        <v>23.2</v>
      </c>
      <c r="B30" s="9" t="s">
        <v>126</v>
      </c>
      <c r="C30" s="12">
        <f>'Grants Allocation'!C$20*'Comprehensive Breakdown'!$D31</f>
        <v>160221.59446885207</v>
      </c>
      <c r="D30" s="12">
        <f>'Grants Allocation'!D$20*'Comprehensive Breakdown'!$D31</f>
        <v>118594.39822119287</v>
      </c>
      <c r="E30" s="12">
        <f>'Grants Allocation'!E$20*'Comprehensive Breakdown'!$D31</f>
        <v>194411.53339316542</v>
      </c>
      <c r="F30" s="12">
        <f>'Grants Allocation'!F$20*'Comprehensive Breakdown'!$D31</f>
        <v>125976.85733187315</v>
      </c>
      <c r="G30" s="12">
        <f>'Grants Allocation'!G$20*'Comprehensive Breakdown'!$D31</f>
        <v>109779.7632491937</v>
      </c>
      <c r="H30" s="12">
        <f>'Grants Allocation'!H$20*'Comprehensive Breakdown'!$D31</f>
        <v>169432.5200023895</v>
      </c>
    </row>
    <row r="31" spans="1:8" ht="18" customHeight="1">
      <c r="A31" s="77">
        <v>23.3</v>
      </c>
      <c r="B31" s="9" t="s">
        <v>127</v>
      </c>
      <c r="C31" s="12">
        <f>'Grants Allocation'!C$20*'Comprehensive Breakdown'!$D32</f>
        <v>160221.59446885207</v>
      </c>
      <c r="D31" s="12">
        <f>'Grants Allocation'!D$20*'Comprehensive Breakdown'!$D32</f>
        <v>118594.39822119287</v>
      </c>
      <c r="E31" s="12">
        <f>'Grants Allocation'!E$20*'Comprehensive Breakdown'!$D32</f>
        <v>194411.53339316542</v>
      </c>
      <c r="F31" s="12">
        <f>'Grants Allocation'!F$20*'Comprehensive Breakdown'!$D32</f>
        <v>125976.85733187315</v>
      </c>
      <c r="G31" s="12">
        <f>'Grants Allocation'!G$20*'Comprehensive Breakdown'!$D32</f>
        <v>109779.7632491937</v>
      </c>
      <c r="H31" s="12">
        <f>'Grants Allocation'!H$20*'Comprehensive Breakdown'!$D32</f>
        <v>169432.5200023895</v>
      </c>
    </row>
    <row r="32" spans="1:8" ht="18" customHeight="1">
      <c r="A32" s="77">
        <v>24</v>
      </c>
      <c r="B32" s="9" t="s">
        <v>128</v>
      </c>
      <c r="C32" s="12">
        <f>'Grants Allocation'!C$20*'Comprehensive Breakdown'!$D33</f>
        <v>480664.7834065562</v>
      </c>
      <c r="D32" s="12">
        <f>'Grants Allocation'!D$20*'Comprehensive Breakdown'!$D33</f>
        <v>355783.1946635786</v>
      </c>
      <c r="E32" s="12">
        <f>'Grants Allocation'!E$20*'Comprehensive Breakdown'!$D33</f>
        <v>583234.6001794962</v>
      </c>
      <c r="F32" s="12">
        <f>'Grants Allocation'!F$20*'Comprehensive Breakdown'!$D33</f>
        <v>377930.57199561945</v>
      </c>
      <c r="G32" s="12">
        <f>'Grants Allocation'!G$20*'Comprehensive Breakdown'!$D33</f>
        <v>329339.28974758106</v>
      </c>
      <c r="H32" s="12">
        <f>'Grants Allocation'!H$20*'Comprehensive Breakdown'!$D33</f>
        <v>508297.5600071685</v>
      </c>
    </row>
    <row r="33" spans="1:8" ht="18" customHeight="1">
      <c r="A33" s="70">
        <v>25.1</v>
      </c>
      <c r="B33" s="9" t="s">
        <v>88</v>
      </c>
      <c r="C33" s="12">
        <f>'Grants Allocation'!C$20*'Comprehensive Breakdown'!$D34</f>
        <v>160221.59446885207</v>
      </c>
      <c r="D33" s="12">
        <f>'Grants Allocation'!D$20*'Comprehensive Breakdown'!$D34</f>
        <v>118594.39822119287</v>
      </c>
      <c r="E33" s="12">
        <f>'Grants Allocation'!E$20*'Comprehensive Breakdown'!$D34</f>
        <v>194411.53339316542</v>
      </c>
      <c r="F33" s="12">
        <f>'Grants Allocation'!F$20*'Comprehensive Breakdown'!$D34</f>
        <v>125976.85733187315</v>
      </c>
      <c r="G33" s="12">
        <f>'Grants Allocation'!G$20*'Comprehensive Breakdown'!$D34</f>
        <v>109779.7632491937</v>
      </c>
      <c r="H33" s="12">
        <f>'Grants Allocation'!H$20*'Comprehensive Breakdown'!$D34</f>
        <v>169432.5200023895</v>
      </c>
    </row>
    <row r="34" spans="1:8" ht="18" customHeight="1">
      <c r="A34" s="77">
        <v>25.2</v>
      </c>
      <c r="B34" s="9" t="s">
        <v>129</v>
      </c>
      <c r="C34" s="12">
        <f>'Grants Allocation'!C$20*'Comprehensive Breakdown'!$D35</f>
        <v>320443.18893770414</v>
      </c>
      <c r="D34" s="12">
        <f>'Grants Allocation'!D$20*'Comprehensive Breakdown'!$D35</f>
        <v>237188.79644238573</v>
      </c>
      <c r="E34" s="12">
        <f>'Grants Allocation'!E$20*'Comprehensive Breakdown'!$D35</f>
        <v>388823.06678633083</v>
      </c>
      <c r="F34" s="12">
        <f>'Grants Allocation'!F$20*'Comprehensive Breakdown'!$D35</f>
        <v>251953.7146637463</v>
      </c>
      <c r="G34" s="12">
        <f>'Grants Allocation'!G$20*'Comprehensive Breakdown'!$D35</f>
        <v>219559.5264983874</v>
      </c>
      <c r="H34" s="12">
        <f>'Grants Allocation'!H$20*'Comprehensive Breakdown'!$D35</f>
        <v>338865.040004779</v>
      </c>
    </row>
    <row r="35" spans="1:8" ht="18" customHeight="1">
      <c r="A35" s="70">
        <v>26</v>
      </c>
      <c r="B35" s="9" t="s">
        <v>90</v>
      </c>
      <c r="C35" s="12">
        <f>'Grants Allocation'!C$20*'Comprehensive Breakdown'!$D36</f>
        <v>160221.59446885207</v>
      </c>
      <c r="D35" s="12">
        <f>'Grants Allocation'!D$20*'Comprehensive Breakdown'!$D36</f>
        <v>118594.39822119287</v>
      </c>
      <c r="E35" s="12">
        <f>'Grants Allocation'!E$20*'Comprehensive Breakdown'!$D36</f>
        <v>194411.53339316542</v>
      </c>
      <c r="F35" s="12">
        <f>'Grants Allocation'!F$20*'Comprehensive Breakdown'!$D36</f>
        <v>125976.85733187315</v>
      </c>
      <c r="G35" s="12">
        <f>'Grants Allocation'!G$20*'Comprehensive Breakdown'!$D36</f>
        <v>109779.7632491937</v>
      </c>
      <c r="H35" s="12">
        <f>'Grants Allocation'!H$20*'Comprehensive Breakdown'!$D36</f>
        <v>169432.5200023895</v>
      </c>
    </row>
    <row r="36" spans="1:8" ht="18" customHeight="1">
      <c r="A36" s="77"/>
      <c r="B36" s="13" t="s">
        <v>159</v>
      </c>
      <c r="C36" s="11">
        <f aca="true" t="shared" si="2" ref="C36:H36">SUM(C27:C34)</f>
        <v>1922659.1336262247</v>
      </c>
      <c r="D36" s="11">
        <f t="shared" si="2"/>
        <v>1423132.7786543143</v>
      </c>
      <c r="E36" s="11">
        <f t="shared" si="2"/>
        <v>2332938.400717985</v>
      </c>
      <c r="F36" s="11">
        <f t="shared" si="2"/>
        <v>1511722.2879824778</v>
      </c>
      <c r="G36" s="11">
        <f t="shared" si="2"/>
        <v>1317357.1589903242</v>
      </c>
      <c r="H36" s="11">
        <f t="shared" si="2"/>
        <v>2033190.2400286742</v>
      </c>
    </row>
    <row r="37" spans="1:2" ht="18" customHeight="1">
      <c r="A37" s="77"/>
      <c r="B37" s="10" t="s">
        <v>138</v>
      </c>
    </row>
    <row r="38" spans="1:8" ht="18" customHeight="1">
      <c r="A38" s="77">
        <v>41</v>
      </c>
      <c r="B38" s="9" t="s">
        <v>139</v>
      </c>
      <c r="C38" s="12">
        <f>'Grants Allocation'!I19</f>
        <v>28839887.00439337</v>
      </c>
      <c r="D38" s="12">
        <f>'Grants Allocation'!J19</f>
        <v>21346991.67981471</v>
      </c>
      <c r="E38" s="12">
        <f>'Grants Allocation'!K19</f>
        <v>34994076.01076977</v>
      </c>
      <c r="F38" s="12">
        <f>'Grants Allocation'!L19</f>
        <v>22675834.319737166</v>
      </c>
      <c r="G38" s="12">
        <f>'Grants Allocation'!M19</f>
        <v>19760357.384854868</v>
      </c>
      <c r="H38" s="12">
        <f>'Grants Allocation'!N19</f>
        <v>30497853.60043011</v>
      </c>
    </row>
    <row r="39" spans="2:8" ht="18" customHeight="1">
      <c r="B39" s="13" t="s">
        <v>159</v>
      </c>
      <c r="C39" s="11">
        <f aca="true" t="shared" si="3" ref="C39:H39">C38</f>
        <v>28839887.00439337</v>
      </c>
      <c r="D39" s="11">
        <f t="shared" si="3"/>
        <v>21346991.67981471</v>
      </c>
      <c r="E39" s="11">
        <f t="shared" si="3"/>
        <v>34994076.01076977</v>
      </c>
      <c r="F39" s="11">
        <f t="shared" si="3"/>
        <v>22675834.319737166</v>
      </c>
      <c r="G39" s="11">
        <f t="shared" si="3"/>
        <v>19760357.384854868</v>
      </c>
      <c r="H39" s="11">
        <f t="shared" si="3"/>
        <v>30497853.60043011</v>
      </c>
    </row>
    <row r="40" spans="1:8" s="15" customFormat="1" ht="18" customHeight="1">
      <c r="A40" s="78"/>
      <c r="B40" s="14" t="s">
        <v>160</v>
      </c>
      <c r="C40" s="30">
        <f aca="true" t="shared" si="4" ref="C40:H40">C39+C36+C25+C17</f>
        <v>38453182.6725245</v>
      </c>
      <c r="D40" s="30">
        <f t="shared" si="4"/>
        <v>28462655.573086284</v>
      </c>
      <c r="E40" s="30">
        <f t="shared" si="4"/>
        <v>46658768.0143597</v>
      </c>
      <c r="F40" s="30">
        <f t="shared" si="4"/>
        <v>30234445.759649556</v>
      </c>
      <c r="G40" s="30">
        <f t="shared" si="4"/>
        <v>26347143.17980649</v>
      </c>
      <c r="H40" s="30">
        <f t="shared" si="4"/>
        <v>40663804.80057348</v>
      </c>
    </row>
    <row r="42" spans="2:4" ht="18" customHeight="1">
      <c r="B42" s="10" t="s">
        <v>147</v>
      </c>
      <c r="C42" s="29">
        <f>SUM(C40:H40)</f>
        <v>210820000</v>
      </c>
      <c r="D42" s="10"/>
    </row>
    <row r="43" spans="3:4" ht="18" customHeight="1">
      <c r="C43" s="10"/>
      <c r="D43" s="10"/>
    </row>
    <row r="44" spans="2:4" ht="18" customHeight="1">
      <c r="B44" s="10" t="s">
        <v>149</v>
      </c>
      <c r="C44" s="29">
        <f>'Comprehensive Breakdown'!D43</f>
        <v>210820000</v>
      </c>
      <c r="D44" s="10"/>
    </row>
    <row r="45" spans="3:4" ht="18" customHeight="1">
      <c r="C45" s="10"/>
      <c r="D45" s="10"/>
    </row>
    <row r="46" spans="1:4" s="15" customFormat="1" ht="18" customHeight="1">
      <c r="A46" s="78"/>
      <c r="B46" s="16" t="s">
        <v>148</v>
      </c>
      <c r="C46" s="30">
        <f>C44-C42</f>
        <v>0</v>
      </c>
      <c r="D46" s="14"/>
    </row>
  </sheetData>
  <printOptions/>
  <pageMargins left="1" right="1" top="1" bottom="1" header="0.5" footer="0.5"/>
  <pageSetup horizontalDpi="300" verticalDpi="300" orientation="landscape" r:id="rId1"/>
  <headerFooter alignWithMargins="0">
    <oddHeader>&amp;C&amp;"Times New Roman,Bold"&amp;12&amp;U&amp;A&amp;R&amp;"Times New Roman,Regular"&amp;12Appendix C</oddHeader>
    <oddFooter>&amp;C&amp;"Times New Roman,Regular"&amp;12C-&amp;P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2" ySplit="2" topLeftCell="C3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8" customHeight="1"/>
  <cols>
    <col min="1" max="1" width="5.00390625" style="42" bestFit="1" customWidth="1"/>
    <col min="2" max="2" width="20.28125" style="36" customWidth="1"/>
    <col min="3" max="8" width="13.140625" style="36" bestFit="1" customWidth="1"/>
    <col min="9" max="9" width="14.140625" style="36" hidden="1" customWidth="1"/>
    <col min="10" max="15" width="13.140625" style="36" bestFit="1" customWidth="1"/>
    <col min="16" max="16" width="14.140625" style="42" hidden="1" customWidth="1"/>
    <col min="17" max="17" width="10.8515625" style="36" bestFit="1" customWidth="1"/>
    <col min="18" max="18" width="5.8515625" style="36" bestFit="1" customWidth="1"/>
    <col min="19" max="19" width="9.7109375" style="36" bestFit="1" customWidth="1"/>
    <col min="20" max="20" width="7.8515625" style="36" bestFit="1" customWidth="1"/>
    <col min="21" max="21" width="5.421875" style="36" bestFit="1" customWidth="1"/>
    <col min="22" max="16384" width="9.140625" style="36" customWidth="1"/>
  </cols>
  <sheetData>
    <row r="1" spans="3:21" s="42" customFormat="1" ht="18" customHeight="1">
      <c r="C1" s="83" t="s">
        <v>0</v>
      </c>
      <c r="D1" s="83"/>
      <c r="E1" s="83"/>
      <c r="F1" s="83"/>
      <c r="G1" s="83"/>
      <c r="H1" s="83"/>
      <c r="I1" s="83"/>
      <c r="J1" s="83" t="s">
        <v>1</v>
      </c>
      <c r="K1" s="83"/>
      <c r="L1" s="83"/>
      <c r="M1" s="83"/>
      <c r="N1" s="83"/>
      <c r="O1" s="83"/>
      <c r="P1" s="83"/>
      <c r="Q1" s="69"/>
      <c r="R1" s="69"/>
      <c r="S1" s="69"/>
      <c r="T1" s="69"/>
      <c r="U1" s="69"/>
    </row>
    <row r="2" spans="3:16" s="34" customFormat="1" ht="18" customHeight="1">
      <c r="C2" s="34" t="s">
        <v>67</v>
      </c>
      <c r="D2" s="34" t="s">
        <v>68</v>
      </c>
      <c r="E2" s="34" t="s">
        <v>71</v>
      </c>
      <c r="F2" s="34" t="s">
        <v>66</v>
      </c>
      <c r="G2" s="34" t="s">
        <v>70</v>
      </c>
      <c r="H2" s="34" t="s">
        <v>69</v>
      </c>
      <c r="I2" s="34" t="s">
        <v>74</v>
      </c>
      <c r="J2" s="34" t="s">
        <v>67</v>
      </c>
      <c r="K2" s="34" t="s">
        <v>68</v>
      </c>
      <c r="L2" s="34" t="s">
        <v>71</v>
      </c>
      <c r="M2" s="34" t="s">
        <v>66</v>
      </c>
      <c r="N2" s="34" t="s">
        <v>70</v>
      </c>
      <c r="O2" s="34" t="s">
        <v>69</v>
      </c>
      <c r="P2" s="34" t="s">
        <v>74</v>
      </c>
    </row>
    <row r="4" spans="1:2" ht="18" customHeight="1">
      <c r="A4" s="42">
        <v>11.1</v>
      </c>
      <c r="B4" s="43" t="s">
        <v>80</v>
      </c>
    </row>
    <row r="6" ht="18" customHeight="1">
      <c r="B6" s="36" t="s">
        <v>142</v>
      </c>
    </row>
    <row r="7" spans="2:16" ht="18" customHeight="1">
      <c r="B7" s="36" t="s">
        <v>104</v>
      </c>
      <c r="C7" s="44">
        <f>'Full-time permanent staff Nos'!C7*'OPM GS Grades and Steps'!$B2*0.1294</f>
        <v>0</v>
      </c>
      <c r="D7" s="44">
        <f>'Full-time permanent staff Nos'!D7*'OPM GS Grades and Steps'!$B2*0.1294</f>
        <v>0</v>
      </c>
      <c r="E7" s="44">
        <f>'Full-time permanent staff Nos'!E7*'OPM GS Grades and Steps'!$B2*0.1294</f>
        <v>0</v>
      </c>
      <c r="F7" s="44">
        <f>'Full-time permanent staff Nos'!F7*'OPM GS Grades and Steps'!$B2*0.1294</f>
        <v>0</v>
      </c>
      <c r="G7" s="44">
        <f>'Full-time permanent staff Nos'!G7*'OPM GS Grades and Steps'!$B2*0.1294</f>
        <v>0</v>
      </c>
      <c r="H7" s="44">
        <f>'Full-time permanent staff Nos'!H7*'OPM GS Grades and Steps'!$B2*0.1294</f>
        <v>0</v>
      </c>
      <c r="I7" s="45">
        <f>SUM(C7:H7)</f>
        <v>0</v>
      </c>
      <c r="J7" s="44">
        <f>'Full-time permanent staff Nos'!I7*'OPM GS Grades and Steps'!$C2*0.1294</f>
        <v>0</v>
      </c>
      <c r="K7" s="44">
        <f>'Full-time permanent staff Nos'!J7*'OPM GS Grades and Steps'!$C2*0.1294</f>
        <v>0</v>
      </c>
      <c r="L7" s="44">
        <f>'Full-time permanent staff Nos'!K7*'OPM GS Grades and Steps'!$C2*0.1294</f>
        <v>0</v>
      </c>
      <c r="M7" s="44">
        <f>'Full-time permanent staff Nos'!L7*'OPM GS Grades and Steps'!$C2*0.1294</f>
        <v>0</v>
      </c>
      <c r="N7" s="44">
        <f>'Full-time permanent staff Nos'!M7*'OPM GS Grades and Steps'!$C2*0.1294</f>
        <v>0</v>
      </c>
      <c r="O7" s="44">
        <f>'Full-time permanent staff Nos'!N7*'OPM GS Grades and Steps'!$C2*0.1294</f>
        <v>0</v>
      </c>
      <c r="P7" s="45">
        <f>SUM(J7:O7)</f>
        <v>0</v>
      </c>
    </row>
    <row r="8" spans="2:16" ht="18" customHeight="1">
      <c r="B8" s="36" t="s">
        <v>105</v>
      </c>
      <c r="C8" s="46">
        <f>'Full-time permanent staff Nos'!C8*'OPM GS Grades and Steps'!$B3*0.1294</f>
        <v>0</v>
      </c>
      <c r="D8" s="46">
        <f>'Full-time permanent staff Nos'!D8*'OPM GS Grades and Steps'!$B3*0.1294</f>
        <v>0</v>
      </c>
      <c r="E8" s="46">
        <f>'Full-time permanent staff Nos'!E8*'OPM GS Grades and Steps'!$B3*0.1294</f>
        <v>0</v>
      </c>
      <c r="F8" s="46">
        <f>'Full-time permanent staff Nos'!F8*'OPM GS Grades and Steps'!$B3*0.1294</f>
        <v>0</v>
      </c>
      <c r="G8" s="46">
        <f>'Full-time permanent staff Nos'!G8*'OPM GS Grades and Steps'!$B3*0.1294</f>
        <v>0</v>
      </c>
      <c r="H8" s="46">
        <f>'Full-time permanent staff Nos'!H8*'OPM GS Grades and Steps'!$B3*0.1294</f>
        <v>0</v>
      </c>
      <c r="I8" s="47">
        <f aca="true" t="shared" si="0" ref="I8:I22">SUM(C8:H8)</f>
        <v>0</v>
      </c>
      <c r="J8" s="46">
        <f>'Full-time permanent staff Nos'!I8*'OPM GS Grades and Steps'!$C3*0.1294</f>
        <v>0</v>
      </c>
      <c r="K8" s="46">
        <f>'Full-time permanent staff Nos'!J8*'OPM GS Grades and Steps'!$C3*0.1294</f>
        <v>0</v>
      </c>
      <c r="L8" s="46">
        <f>'Full-time permanent staff Nos'!K8*'OPM GS Grades and Steps'!$C3*0.1294</f>
        <v>0</v>
      </c>
      <c r="M8" s="46">
        <f>'Full-time permanent staff Nos'!L8*'OPM GS Grades and Steps'!$C3*0.1294</f>
        <v>0</v>
      </c>
      <c r="N8" s="46">
        <f>'Full-time permanent staff Nos'!M8*'OPM GS Grades and Steps'!$C3*0.1294</f>
        <v>0</v>
      </c>
      <c r="O8" s="46">
        <f>'Full-time permanent staff Nos'!N8*'OPM GS Grades and Steps'!$C3*0.1294</f>
        <v>0</v>
      </c>
      <c r="P8" s="47">
        <f aca="true" t="shared" si="1" ref="P8:P22">SUM(J8:O8)</f>
        <v>0</v>
      </c>
    </row>
    <row r="9" spans="2:16" ht="18" customHeight="1">
      <c r="B9" s="36" t="s">
        <v>106</v>
      </c>
      <c r="C9" s="46">
        <f>'Full-time permanent staff Nos'!C9*'OPM GS Grades and Steps'!$B4*0.1294</f>
        <v>0</v>
      </c>
      <c r="D9" s="46">
        <f>'Full-time permanent staff Nos'!D9*'OPM GS Grades and Steps'!$B4*0.1294</f>
        <v>0</v>
      </c>
      <c r="E9" s="46">
        <f>'Full-time permanent staff Nos'!E9*'OPM GS Grades and Steps'!$B4*0.1294</f>
        <v>0</v>
      </c>
      <c r="F9" s="46">
        <f>'Full-time permanent staff Nos'!F9*'OPM GS Grades and Steps'!$B4*0.1294</f>
        <v>0</v>
      </c>
      <c r="G9" s="46">
        <f>'Full-time permanent staff Nos'!G9*'OPM GS Grades and Steps'!$B4*0.1294</f>
        <v>0</v>
      </c>
      <c r="H9" s="46">
        <f>'Full-time permanent staff Nos'!H9*'OPM GS Grades and Steps'!$B4*0.1294</f>
        <v>0</v>
      </c>
      <c r="I9" s="47">
        <f t="shared" si="0"/>
        <v>0</v>
      </c>
      <c r="J9" s="46">
        <f>'Full-time permanent staff Nos'!I9*'OPM GS Grades and Steps'!$C4*0.1294</f>
        <v>0</v>
      </c>
      <c r="K9" s="46">
        <f>'Full-time permanent staff Nos'!J9*'OPM GS Grades and Steps'!$C4*0.1294</f>
        <v>0</v>
      </c>
      <c r="L9" s="46">
        <f>'Full-time permanent staff Nos'!K9*'OPM GS Grades and Steps'!$C4*0.1294</f>
        <v>0</v>
      </c>
      <c r="M9" s="46">
        <f>'Full-time permanent staff Nos'!L9*'OPM GS Grades and Steps'!$C4*0.1294</f>
        <v>0</v>
      </c>
      <c r="N9" s="46">
        <f>'Full-time permanent staff Nos'!M9*'OPM GS Grades and Steps'!$C4*0.1294</f>
        <v>0</v>
      </c>
      <c r="O9" s="46">
        <f>'Full-time permanent staff Nos'!N9*'OPM GS Grades and Steps'!$C4*0.1294</f>
        <v>0</v>
      </c>
      <c r="P9" s="47">
        <f t="shared" si="1"/>
        <v>0</v>
      </c>
    </row>
    <row r="10" spans="2:16" ht="18" customHeight="1">
      <c r="B10" s="36" t="s">
        <v>107</v>
      </c>
      <c r="C10" s="46">
        <f>'Full-time permanent staff Nos'!C10*'OPM GS Grades and Steps'!$B5*0.1294</f>
        <v>4943.08</v>
      </c>
      <c r="D10" s="46">
        <f>'Full-time permanent staff Nos'!D10*'OPM GS Grades and Steps'!$B5*0.1294</f>
        <v>4943.08</v>
      </c>
      <c r="E10" s="46">
        <f>'Full-time permanent staff Nos'!E10*'OPM GS Grades and Steps'!$B5*0.1294</f>
        <v>4943.08</v>
      </c>
      <c r="F10" s="46">
        <f>'Full-time permanent staff Nos'!F10*'OPM GS Grades and Steps'!$B5*0.1294</f>
        <v>4943.08</v>
      </c>
      <c r="G10" s="46">
        <f>'Full-time permanent staff Nos'!G10*'OPM GS Grades and Steps'!$B5*0.1294</f>
        <v>4943.08</v>
      </c>
      <c r="H10" s="46">
        <f>'Full-time permanent staff Nos'!H10*'OPM GS Grades and Steps'!$B5*0.1294</f>
        <v>4943.08</v>
      </c>
      <c r="I10" s="47">
        <f t="shared" si="0"/>
        <v>29658.480000000003</v>
      </c>
      <c r="J10" s="46">
        <f>'Full-time permanent staff Nos'!I10*'OPM GS Grades and Steps'!$C5*0.1294</f>
        <v>5107.9356</v>
      </c>
      <c r="K10" s="46">
        <f>'Full-time permanent staff Nos'!J10*'OPM GS Grades and Steps'!$C5*0.1294</f>
        <v>5107.9356</v>
      </c>
      <c r="L10" s="46">
        <f>'Full-time permanent staff Nos'!K10*'OPM GS Grades and Steps'!$C5*0.1294</f>
        <v>5107.9356</v>
      </c>
      <c r="M10" s="46">
        <f>'Full-time permanent staff Nos'!L10*'OPM GS Grades and Steps'!$C5*0.1294</f>
        <v>5107.9356</v>
      </c>
      <c r="N10" s="46">
        <f>'Full-time permanent staff Nos'!M10*'OPM GS Grades and Steps'!$C5*0.1294</f>
        <v>5107.9356</v>
      </c>
      <c r="O10" s="46">
        <f>'Full-time permanent staff Nos'!N10*'OPM GS Grades and Steps'!$C5*0.1294</f>
        <v>5107.9356</v>
      </c>
      <c r="P10" s="47">
        <f t="shared" si="1"/>
        <v>30647.6136</v>
      </c>
    </row>
    <row r="11" spans="2:16" ht="18" customHeight="1">
      <c r="B11" s="36" t="s">
        <v>108</v>
      </c>
      <c r="C11" s="46">
        <f>'Full-time permanent staff Nos'!C11*'OPM GS Grades and Steps'!$B6*0.1294</f>
        <v>0</v>
      </c>
      <c r="D11" s="46">
        <f>'Full-time permanent staff Nos'!D11*'OPM GS Grades and Steps'!$B6*0.1294</f>
        <v>0</v>
      </c>
      <c r="E11" s="46">
        <f>'Full-time permanent staff Nos'!E11*'OPM GS Grades and Steps'!$B6*0.1294</f>
        <v>0</v>
      </c>
      <c r="F11" s="46">
        <f>'Full-time permanent staff Nos'!F11*'OPM GS Grades and Steps'!$B6*0.1294</f>
        <v>0</v>
      </c>
      <c r="G11" s="46">
        <f>'Full-time permanent staff Nos'!G11*'OPM GS Grades and Steps'!$B6*0.1294</f>
        <v>0</v>
      </c>
      <c r="H11" s="46">
        <f>'Full-time permanent staff Nos'!H11*'OPM GS Grades and Steps'!$B6*0.1294</f>
        <v>0</v>
      </c>
      <c r="I11" s="47">
        <f t="shared" si="0"/>
        <v>0</v>
      </c>
      <c r="J11" s="46">
        <f>'Full-time permanent staff Nos'!I11*'OPM GS Grades and Steps'!$C6*0.1294</f>
        <v>0</v>
      </c>
      <c r="K11" s="46">
        <f>'Full-time permanent staff Nos'!J11*'OPM GS Grades and Steps'!$C6*0.1294</f>
        <v>0</v>
      </c>
      <c r="L11" s="46">
        <f>'Full-time permanent staff Nos'!K11*'OPM GS Grades and Steps'!$C6*0.1294</f>
        <v>0</v>
      </c>
      <c r="M11" s="46">
        <f>'Full-time permanent staff Nos'!L11*'OPM GS Grades and Steps'!$C6*0.1294</f>
        <v>0</v>
      </c>
      <c r="N11" s="46">
        <f>'Full-time permanent staff Nos'!M11*'OPM GS Grades and Steps'!$C6*0.1294</f>
        <v>0</v>
      </c>
      <c r="O11" s="46">
        <f>'Full-time permanent staff Nos'!N11*'OPM GS Grades and Steps'!$C6*0.1294</f>
        <v>0</v>
      </c>
      <c r="P11" s="47">
        <f t="shared" si="1"/>
        <v>0</v>
      </c>
    </row>
    <row r="12" spans="2:16" ht="18" customHeight="1">
      <c r="B12" s="36" t="s">
        <v>109</v>
      </c>
      <c r="C12" s="46">
        <f>'Full-time permanent staff Nos'!C12*'OPM GS Grades and Steps'!$B7*0.1294</f>
        <v>0</v>
      </c>
      <c r="D12" s="46">
        <f>'Full-time permanent staff Nos'!D12*'OPM GS Grades and Steps'!$B7*0.1294</f>
        <v>0</v>
      </c>
      <c r="E12" s="46">
        <f>'Full-time permanent staff Nos'!E12*'OPM GS Grades and Steps'!$B7*0.1294</f>
        <v>0</v>
      </c>
      <c r="F12" s="46">
        <f>'Full-time permanent staff Nos'!F12*'OPM GS Grades and Steps'!$B7*0.1294</f>
        <v>0</v>
      </c>
      <c r="G12" s="46">
        <f>'Full-time permanent staff Nos'!G12*'OPM GS Grades and Steps'!$B7*0.1294</f>
        <v>0</v>
      </c>
      <c r="H12" s="46">
        <f>'Full-time permanent staff Nos'!H12*'OPM GS Grades and Steps'!$B7*0.1294</f>
        <v>0</v>
      </c>
      <c r="I12" s="47">
        <f t="shared" si="0"/>
        <v>0</v>
      </c>
      <c r="J12" s="46">
        <f>'Full-time permanent staff Nos'!I12*'OPM GS Grades and Steps'!$C7*0.1294</f>
        <v>0</v>
      </c>
      <c r="K12" s="46">
        <f>'Full-time permanent staff Nos'!J12*'OPM GS Grades and Steps'!$C7*0.1294</f>
        <v>0</v>
      </c>
      <c r="L12" s="46">
        <f>'Full-time permanent staff Nos'!K12*'OPM GS Grades and Steps'!$C7*0.1294</f>
        <v>0</v>
      </c>
      <c r="M12" s="46">
        <f>'Full-time permanent staff Nos'!L12*'OPM GS Grades and Steps'!$C7*0.1294</f>
        <v>0</v>
      </c>
      <c r="N12" s="46">
        <f>'Full-time permanent staff Nos'!M12*'OPM GS Grades and Steps'!$C7*0.1294</f>
        <v>0</v>
      </c>
      <c r="O12" s="46">
        <f>'Full-time permanent staff Nos'!N12*'OPM GS Grades and Steps'!$C7*0.1294</f>
        <v>0</v>
      </c>
      <c r="P12" s="47">
        <f t="shared" si="1"/>
        <v>0</v>
      </c>
    </row>
    <row r="13" spans="2:16" ht="18" customHeight="1">
      <c r="B13" s="36" t="s">
        <v>110</v>
      </c>
      <c r="C13" s="46">
        <f>'Full-time permanent staff Nos'!C13*'OPM GS Grades and Steps'!$B8*0.1294</f>
        <v>0</v>
      </c>
      <c r="D13" s="46">
        <f>'Full-time permanent staff Nos'!D13*'OPM GS Grades and Steps'!$B8*0.1294</f>
        <v>0</v>
      </c>
      <c r="E13" s="46">
        <f>'Full-time permanent staff Nos'!E13*'OPM GS Grades and Steps'!$B8*0.1294</f>
        <v>0</v>
      </c>
      <c r="F13" s="46">
        <f>'Full-time permanent staff Nos'!F13*'OPM GS Grades and Steps'!$B8*0.1294</f>
        <v>0</v>
      </c>
      <c r="G13" s="46">
        <f>'Full-time permanent staff Nos'!G13*'OPM GS Grades and Steps'!$B8*0.1294</f>
        <v>0</v>
      </c>
      <c r="H13" s="46">
        <f>'Full-time permanent staff Nos'!H13*'OPM GS Grades and Steps'!$B8*0.1294</f>
        <v>0</v>
      </c>
      <c r="I13" s="47">
        <f t="shared" si="0"/>
        <v>0</v>
      </c>
      <c r="J13" s="46">
        <f>'Full-time permanent staff Nos'!I13*'OPM GS Grades and Steps'!$C8*0.1294</f>
        <v>0</v>
      </c>
      <c r="K13" s="46">
        <f>'Full-time permanent staff Nos'!J13*'OPM GS Grades and Steps'!$C8*0.1294</f>
        <v>0</v>
      </c>
      <c r="L13" s="46">
        <f>'Full-time permanent staff Nos'!K13*'OPM GS Grades and Steps'!$C8*0.1294</f>
        <v>0</v>
      </c>
      <c r="M13" s="46">
        <f>'Full-time permanent staff Nos'!L13*'OPM GS Grades and Steps'!$C8*0.1294</f>
        <v>0</v>
      </c>
      <c r="N13" s="46">
        <f>'Full-time permanent staff Nos'!M13*'OPM GS Grades and Steps'!$C8*0.1294</f>
        <v>0</v>
      </c>
      <c r="O13" s="46">
        <f>'Full-time permanent staff Nos'!N13*'OPM GS Grades and Steps'!$C8*0.1294</f>
        <v>0</v>
      </c>
      <c r="P13" s="47">
        <f t="shared" si="1"/>
        <v>0</v>
      </c>
    </row>
    <row r="14" spans="2:16" ht="18" customHeight="1">
      <c r="B14" s="36" t="s">
        <v>111</v>
      </c>
      <c r="C14" s="46">
        <f>'Full-time permanent staff Nos'!C14*'OPM GS Grades and Steps'!$B9*0.1294</f>
        <v>0</v>
      </c>
      <c r="D14" s="46">
        <f>'Full-time permanent staff Nos'!D14*'OPM GS Grades and Steps'!$B9*0.1294</f>
        <v>0</v>
      </c>
      <c r="E14" s="46">
        <f>'Full-time permanent staff Nos'!E14*'OPM GS Grades and Steps'!$B9*0.1294</f>
        <v>0</v>
      </c>
      <c r="F14" s="46">
        <f>'Full-time permanent staff Nos'!F14*'OPM GS Grades and Steps'!$B9*0.1294</f>
        <v>0</v>
      </c>
      <c r="G14" s="46">
        <f>'Full-time permanent staff Nos'!G14*'OPM GS Grades and Steps'!$B9*0.1294</f>
        <v>0</v>
      </c>
      <c r="H14" s="46">
        <f>'Full-time permanent staff Nos'!H14*'OPM GS Grades and Steps'!$B9*0.1294</f>
        <v>0</v>
      </c>
      <c r="I14" s="47">
        <f t="shared" si="0"/>
        <v>0</v>
      </c>
      <c r="J14" s="46">
        <f>'Full-time permanent staff Nos'!I14*'OPM GS Grades and Steps'!$C9*0.1294</f>
        <v>0</v>
      </c>
      <c r="K14" s="46">
        <f>'Full-time permanent staff Nos'!J14*'OPM GS Grades and Steps'!$C9*0.1294</f>
        <v>0</v>
      </c>
      <c r="L14" s="46">
        <f>'Full-time permanent staff Nos'!K14*'OPM GS Grades and Steps'!$C9*0.1294</f>
        <v>0</v>
      </c>
      <c r="M14" s="46">
        <f>'Full-time permanent staff Nos'!L14*'OPM GS Grades and Steps'!$C9*0.1294</f>
        <v>0</v>
      </c>
      <c r="N14" s="46">
        <f>'Full-time permanent staff Nos'!M14*'OPM GS Grades and Steps'!$C9*0.1294</f>
        <v>0</v>
      </c>
      <c r="O14" s="46">
        <f>'Full-time permanent staff Nos'!N14*'OPM GS Grades and Steps'!$C9*0.1294</f>
        <v>0</v>
      </c>
      <c r="P14" s="47">
        <f t="shared" si="1"/>
        <v>0</v>
      </c>
    </row>
    <row r="15" spans="2:16" ht="18" customHeight="1">
      <c r="B15" s="36" t="s">
        <v>112</v>
      </c>
      <c r="C15" s="46">
        <f>'Full-time permanent staff Nos'!C15*'OPM GS Grades and Steps'!$B10*0.1294</f>
        <v>4189.972</v>
      </c>
      <c r="D15" s="46">
        <f>'Full-time permanent staff Nos'!D15*'OPM GS Grades and Steps'!$B10*0.1294</f>
        <v>4189.972</v>
      </c>
      <c r="E15" s="46">
        <f>'Full-time permanent staff Nos'!E15*'OPM GS Grades and Steps'!$B10*0.1294</f>
        <v>4189.972</v>
      </c>
      <c r="F15" s="46">
        <f>'Full-time permanent staff Nos'!F15*'OPM GS Grades and Steps'!$B10*0.1294</f>
        <v>4189.972</v>
      </c>
      <c r="G15" s="46">
        <f>'Full-time permanent staff Nos'!G15*'OPM GS Grades and Steps'!$B10*0.1294</f>
        <v>4189.972</v>
      </c>
      <c r="H15" s="46">
        <f>'Full-time permanent staff Nos'!H15*'OPM GS Grades and Steps'!$B10*0.1294</f>
        <v>4189.972</v>
      </c>
      <c r="I15" s="47">
        <f t="shared" si="0"/>
        <v>25139.832000000002</v>
      </c>
      <c r="J15" s="46">
        <f>'Full-time permanent staff Nos'!I15*'OPM GS Grades and Steps'!$C10*0.1294</f>
        <v>4329.594599999999</v>
      </c>
      <c r="K15" s="46">
        <f>'Full-time permanent staff Nos'!J15*'OPM GS Grades and Steps'!$C10*0.1294</f>
        <v>4329.594599999999</v>
      </c>
      <c r="L15" s="46">
        <f>'Full-time permanent staff Nos'!K15*'OPM GS Grades and Steps'!$C10*0.1294</f>
        <v>4329.594599999999</v>
      </c>
      <c r="M15" s="46">
        <f>'Full-time permanent staff Nos'!L15*'OPM GS Grades and Steps'!$C10*0.1294</f>
        <v>4329.594599999999</v>
      </c>
      <c r="N15" s="46">
        <f>'Full-time permanent staff Nos'!M15*'OPM GS Grades and Steps'!$C10*0.1294</f>
        <v>4329.594599999999</v>
      </c>
      <c r="O15" s="46">
        <f>'Full-time permanent staff Nos'!N15*'OPM GS Grades and Steps'!$C10*0.1294</f>
        <v>4329.594599999999</v>
      </c>
      <c r="P15" s="47">
        <f t="shared" si="1"/>
        <v>25977.5676</v>
      </c>
    </row>
    <row r="16" spans="2:16" ht="18" customHeight="1">
      <c r="B16" s="36" t="s">
        <v>113</v>
      </c>
      <c r="C16" s="46">
        <f>'Full-time permanent staff Nos'!C16*'OPM GS Grades and Steps'!$B11*0.1294</f>
        <v>0</v>
      </c>
      <c r="D16" s="46">
        <f>'Full-time permanent staff Nos'!D16*'OPM GS Grades and Steps'!$B11*0.1294</f>
        <v>0</v>
      </c>
      <c r="E16" s="46">
        <f>'Full-time permanent staff Nos'!E16*'OPM GS Grades and Steps'!$B11*0.1294</f>
        <v>0</v>
      </c>
      <c r="F16" s="46">
        <f>'Full-time permanent staff Nos'!F16*'OPM GS Grades and Steps'!$B11*0.1294</f>
        <v>0</v>
      </c>
      <c r="G16" s="46">
        <f>'Full-time permanent staff Nos'!G16*'OPM GS Grades and Steps'!$B11*0.1294</f>
        <v>0</v>
      </c>
      <c r="H16" s="46">
        <f>'Full-time permanent staff Nos'!H16*'OPM GS Grades and Steps'!$B11*0.1294</f>
        <v>0</v>
      </c>
      <c r="I16" s="47">
        <f t="shared" si="0"/>
        <v>0</v>
      </c>
      <c r="J16" s="46">
        <f>'Full-time permanent staff Nos'!I16*'OPM GS Grades and Steps'!$C11*0.1294</f>
        <v>0</v>
      </c>
      <c r="K16" s="46">
        <f>'Full-time permanent staff Nos'!J16*'OPM GS Grades and Steps'!$C11*0.1294</f>
        <v>0</v>
      </c>
      <c r="L16" s="46">
        <f>'Full-time permanent staff Nos'!K16*'OPM GS Grades and Steps'!$C11*0.1294</f>
        <v>0</v>
      </c>
      <c r="M16" s="46">
        <f>'Full-time permanent staff Nos'!L16*'OPM GS Grades and Steps'!$C11*0.1294</f>
        <v>0</v>
      </c>
      <c r="N16" s="46">
        <f>'Full-time permanent staff Nos'!M16*'OPM GS Grades and Steps'!$C11*0.1294</f>
        <v>0</v>
      </c>
      <c r="O16" s="46">
        <f>'Full-time permanent staff Nos'!N16*'OPM GS Grades and Steps'!$C11*0.1294</f>
        <v>0</v>
      </c>
      <c r="P16" s="47">
        <f t="shared" si="1"/>
        <v>0</v>
      </c>
    </row>
    <row r="17" spans="2:16" ht="18" customHeight="1">
      <c r="B17" s="36" t="s">
        <v>114</v>
      </c>
      <c r="C17" s="46">
        <f>'Full-time permanent staff Nos'!C17*'OPM GS Grades and Steps'!$B12*0.1294</f>
        <v>10139.266399999999</v>
      </c>
      <c r="D17" s="46">
        <f>'Full-time permanent staff Nos'!D17*'OPM GS Grades and Steps'!$B12*0.1294</f>
        <v>10139.266399999999</v>
      </c>
      <c r="E17" s="46">
        <f>'Full-time permanent staff Nos'!E17*'OPM GS Grades and Steps'!$B12*0.1294</f>
        <v>10139.266399999999</v>
      </c>
      <c r="F17" s="46">
        <f>'Full-time permanent staff Nos'!F17*'OPM GS Grades and Steps'!$B12*0.1294</f>
        <v>10139.266399999999</v>
      </c>
      <c r="G17" s="46">
        <f>'Full-time permanent staff Nos'!G17*'OPM GS Grades and Steps'!$B12*0.1294</f>
        <v>10139.266399999999</v>
      </c>
      <c r="H17" s="46">
        <f>'Full-time permanent staff Nos'!H17*'OPM GS Grades and Steps'!$B12*0.1294</f>
        <v>10139.266399999999</v>
      </c>
      <c r="I17" s="47">
        <f t="shared" si="0"/>
        <v>60835.598399999995</v>
      </c>
      <c r="J17" s="46">
        <f>'Full-time permanent staff Nos'!I17*'OPM GS Grades and Steps'!$C12*0.1294</f>
        <v>10477.259199999999</v>
      </c>
      <c r="K17" s="46">
        <f>'Full-time permanent staff Nos'!J17*'OPM GS Grades and Steps'!$C12*0.1294</f>
        <v>10477.259199999999</v>
      </c>
      <c r="L17" s="46">
        <f>'Full-time permanent staff Nos'!K17*'OPM GS Grades and Steps'!$C12*0.1294</f>
        <v>10477.259199999999</v>
      </c>
      <c r="M17" s="46">
        <f>'Full-time permanent staff Nos'!L17*'OPM GS Grades and Steps'!$C12*0.1294</f>
        <v>10477.259199999999</v>
      </c>
      <c r="N17" s="46">
        <f>'Full-time permanent staff Nos'!M17*'OPM GS Grades and Steps'!$C12*0.1294</f>
        <v>10477.259199999999</v>
      </c>
      <c r="O17" s="46">
        <f>'Full-time permanent staff Nos'!N17*'OPM GS Grades and Steps'!$C12*0.1294</f>
        <v>10477.259199999999</v>
      </c>
      <c r="P17" s="47">
        <f t="shared" si="1"/>
        <v>62863.555199999995</v>
      </c>
    </row>
    <row r="18" spans="2:16" ht="18" customHeight="1">
      <c r="B18" s="36" t="s">
        <v>115</v>
      </c>
      <c r="C18" s="46">
        <f>'Full-time permanent staff Nos'!C18*'OPM GS Grades and Steps'!$B13*0.1294</f>
        <v>0</v>
      </c>
      <c r="D18" s="46">
        <f>'Full-time permanent staff Nos'!D18*'OPM GS Grades and Steps'!$B13*0.1294</f>
        <v>0</v>
      </c>
      <c r="E18" s="46">
        <f>'Full-time permanent staff Nos'!E18*'OPM GS Grades and Steps'!$B13*0.1294</f>
        <v>0</v>
      </c>
      <c r="F18" s="46">
        <f>'Full-time permanent staff Nos'!F18*'OPM GS Grades and Steps'!$B13*0.1294</f>
        <v>0</v>
      </c>
      <c r="G18" s="46">
        <f>'Full-time permanent staff Nos'!G18*'OPM GS Grades and Steps'!$B13*0.1294</f>
        <v>0</v>
      </c>
      <c r="H18" s="46">
        <f>'Full-time permanent staff Nos'!H18*'OPM GS Grades and Steps'!$B13*0.1294</f>
        <v>0</v>
      </c>
      <c r="I18" s="47">
        <f t="shared" si="0"/>
        <v>0</v>
      </c>
      <c r="J18" s="46">
        <f>'Full-time permanent staff Nos'!I18*'OPM GS Grades and Steps'!$C13*0.1294</f>
        <v>0</v>
      </c>
      <c r="K18" s="46">
        <f>'Full-time permanent staff Nos'!J18*'OPM GS Grades and Steps'!$C13*0.1294</f>
        <v>0</v>
      </c>
      <c r="L18" s="46">
        <f>'Full-time permanent staff Nos'!K18*'OPM GS Grades and Steps'!$C13*0.1294</f>
        <v>0</v>
      </c>
      <c r="M18" s="46">
        <f>'Full-time permanent staff Nos'!L18*'OPM GS Grades and Steps'!$C13*0.1294</f>
        <v>0</v>
      </c>
      <c r="N18" s="46">
        <f>'Full-time permanent staff Nos'!M18*'OPM GS Grades and Steps'!$C13*0.1294</f>
        <v>0</v>
      </c>
      <c r="O18" s="46">
        <f>'Full-time permanent staff Nos'!N18*'OPM GS Grades and Steps'!$C13*0.1294</f>
        <v>0</v>
      </c>
      <c r="P18" s="47">
        <f t="shared" si="1"/>
        <v>0</v>
      </c>
    </row>
    <row r="19" spans="2:16" ht="18" customHeight="1">
      <c r="B19" s="36" t="s">
        <v>116</v>
      </c>
      <c r="C19" s="46">
        <f>'Full-time permanent staff Nos'!C19*'OPM GS Grades and Steps'!$B14*0.1294</f>
        <v>0</v>
      </c>
      <c r="D19" s="46">
        <f>'Full-time permanent staff Nos'!D19*'OPM GS Grades and Steps'!$B14*0.1294</f>
        <v>0</v>
      </c>
      <c r="E19" s="46">
        <f>'Full-time permanent staff Nos'!E19*'OPM GS Grades and Steps'!$B14*0.1294</f>
        <v>0</v>
      </c>
      <c r="F19" s="46">
        <f>'Full-time permanent staff Nos'!F19*'OPM GS Grades and Steps'!$B14*0.1294</f>
        <v>0</v>
      </c>
      <c r="G19" s="46">
        <f>'Full-time permanent staff Nos'!G19*'OPM GS Grades and Steps'!$B14*0.1294</f>
        <v>0</v>
      </c>
      <c r="H19" s="46">
        <f>'Full-time permanent staff Nos'!H19*'OPM GS Grades and Steps'!$B14*0.1294</f>
        <v>0</v>
      </c>
      <c r="I19" s="47">
        <f t="shared" si="0"/>
        <v>0</v>
      </c>
      <c r="J19" s="46">
        <f>'Full-time permanent staff Nos'!I19*'OPM GS Grades and Steps'!$C14*0.1294</f>
        <v>0</v>
      </c>
      <c r="K19" s="46">
        <f>'Full-time permanent staff Nos'!J19*'OPM GS Grades and Steps'!$C14*0.1294</f>
        <v>0</v>
      </c>
      <c r="L19" s="46">
        <f>'Full-time permanent staff Nos'!K19*'OPM GS Grades and Steps'!$C14*0.1294</f>
        <v>0</v>
      </c>
      <c r="M19" s="46">
        <f>'Full-time permanent staff Nos'!L19*'OPM GS Grades and Steps'!$C14*0.1294</f>
        <v>0</v>
      </c>
      <c r="N19" s="46">
        <f>'Full-time permanent staff Nos'!M19*'OPM GS Grades and Steps'!$C14*0.1294</f>
        <v>0</v>
      </c>
      <c r="O19" s="46">
        <f>'Full-time permanent staff Nos'!N19*'OPM GS Grades and Steps'!$C14*0.1294</f>
        <v>0</v>
      </c>
      <c r="P19" s="47">
        <f t="shared" si="1"/>
        <v>0</v>
      </c>
    </row>
    <row r="20" spans="2:16" ht="18" customHeight="1">
      <c r="B20" s="36" t="s">
        <v>117</v>
      </c>
      <c r="C20" s="46">
        <f>'Full-time permanent staff Nos'!C20*'OPM GS Grades and Steps'!$B15*0.1294</f>
        <v>0</v>
      </c>
      <c r="D20" s="46">
        <f>'Full-time permanent staff Nos'!D20*'OPM GS Grades and Steps'!$B15*0.1294</f>
        <v>0</v>
      </c>
      <c r="E20" s="46">
        <f>'Full-time permanent staff Nos'!E20*'OPM GS Grades and Steps'!$B15*0.1294</f>
        <v>0</v>
      </c>
      <c r="F20" s="46">
        <f>'Full-time permanent staff Nos'!F20*'OPM GS Grades and Steps'!$B15*0.1294</f>
        <v>0</v>
      </c>
      <c r="G20" s="46">
        <f>'Full-time permanent staff Nos'!G20*'OPM GS Grades and Steps'!$B15*0.1294</f>
        <v>0</v>
      </c>
      <c r="H20" s="46">
        <f>'Full-time permanent staff Nos'!H20*'OPM GS Grades and Steps'!$B15*0.1294</f>
        <v>0</v>
      </c>
      <c r="I20" s="47">
        <f t="shared" si="0"/>
        <v>0</v>
      </c>
      <c r="J20" s="46">
        <f>'Full-time permanent staff Nos'!I20*'OPM GS Grades and Steps'!$C15*0.1294</f>
        <v>0</v>
      </c>
      <c r="K20" s="46">
        <f>'Full-time permanent staff Nos'!J20*'OPM GS Grades and Steps'!$C15*0.1294</f>
        <v>0</v>
      </c>
      <c r="L20" s="46">
        <f>'Full-time permanent staff Nos'!K20*'OPM GS Grades and Steps'!$C15*0.1294</f>
        <v>0</v>
      </c>
      <c r="M20" s="46">
        <f>'Full-time permanent staff Nos'!L20*'OPM GS Grades and Steps'!$C15*0.1294</f>
        <v>0</v>
      </c>
      <c r="N20" s="46">
        <f>'Full-time permanent staff Nos'!M20*'OPM GS Grades and Steps'!$C15*0.1294</f>
        <v>0</v>
      </c>
      <c r="O20" s="46">
        <f>'Full-time permanent staff Nos'!N20*'OPM GS Grades and Steps'!$C15*0.1294</f>
        <v>0</v>
      </c>
      <c r="P20" s="47">
        <f t="shared" si="1"/>
        <v>0</v>
      </c>
    </row>
    <row r="21" spans="2:16" ht="18" customHeight="1">
      <c r="B21" s="36" t="s">
        <v>118</v>
      </c>
      <c r="C21" s="46">
        <f>'Full-time permanent staff Nos'!C21*'OPM GS Grades and Steps'!$B16*0.1294</f>
        <v>10043.2516</v>
      </c>
      <c r="D21" s="46">
        <f>'Full-time permanent staff Nos'!D21*'OPM GS Grades and Steps'!$B16*0.1294</f>
        <v>10043.2516</v>
      </c>
      <c r="E21" s="46">
        <f>'Full-time permanent staff Nos'!E21*'OPM GS Grades and Steps'!$B16*0.1294</f>
        <v>10043.2516</v>
      </c>
      <c r="F21" s="46">
        <f>'Full-time permanent staff Nos'!F21*'OPM GS Grades and Steps'!$B16*0.1294</f>
        <v>10043.2516</v>
      </c>
      <c r="G21" s="46">
        <f>'Full-time permanent staff Nos'!G21*'OPM GS Grades and Steps'!$B16*0.1294</f>
        <v>10043.2516</v>
      </c>
      <c r="H21" s="46">
        <f>'Full-time permanent staff Nos'!H21*'OPM GS Grades and Steps'!$B16*0.1294</f>
        <v>10043.2516</v>
      </c>
      <c r="I21" s="47">
        <f>SUM(C21:H21)</f>
        <v>60259.509600000005</v>
      </c>
      <c r="J21" s="46">
        <f>'Full-time permanent staff Nos'!I21*'OPM GS Grades and Steps'!$C16*0.1294</f>
        <v>10378.009399999999</v>
      </c>
      <c r="K21" s="46">
        <f>'Full-time permanent staff Nos'!J21*'OPM GS Grades and Steps'!$C16*0.1294</f>
        <v>10378.009399999999</v>
      </c>
      <c r="L21" s="46">
        <f>'Full-time permanent staff Nos'!K21*'OPM GS Grades and Steps'!$C16*0.1294</f>
        <v>10378.009399999999</v>
      </c>
      <c r="M21" s="46">
        <f>'Full-time permanent staff Nos'!L21*'OPM GS Grades and Steps'!$C16*0.1294</f>
        <v>10378.009399999999</v>
      </c>
      <c r="N21" s="46">
        <f>'Full-time permanent staff Nos'!M21*'OPM GS Grades and Steps'!$C16*0.1294</f>
        <v>10378.009399999999</v>
      </c>
      <c r="O21" s="46">
        <f>'Full-time permanent staff Nos'!N21*'OPM GS Grades and Steps'!$C16*0.1294</f>
        <v>10378.009399999999</v>
      </c>
      <c r="P21" s="47">
        <f t="shared" si="1"/>
        <v>62268.05639999999</v>
      </c>
    </row>
    <row r="22" spans="2:16" ht="18" customHeight="1">
      <c r="B22" s="48" t="s">
        <v>73</v>
      </c>
      <c r="C22" s="49">
        <f aca="true" t="shared" si="2" ref="C22:H22">SUM(C7:C21)</f>
        <v>29315.569999999996</v>
      </c>
      <c r="D22" s="49">
        <f t="shared" si="2"/>
        <v>29315.569999999996</v>
      </c>
      <c r="E22" s="49">
        <f t="shared" si="2"/>
        <v>29315.569999999996</v>
      </c>
      <c r="F22" s="49">
        <f t="shared" si="2"/>
        <v>29315.569999999996</v>
      </c>
      <c r="G22" s="49">
        <f t="shared" si="2"/>
        <v>29315.569999999996</v>
      </c>
      <c r="H22" s="49">
        <f t="shared" si="2"/>
        <v>29315.569999999996</v>
      </c>
      <c r="I22" s="45">
        <f t="shared" si="0"/>
        <v>175893.41999999998</v>
      </c>
      <c r="J22" s="49">
        <f aca="true" t="shared" si="3" ref="J22:O22">SUM(J7:J21)</f>
        <v>30292.798799999997</v>
      </c>
      <c r="K22" s="49">
        <f t="shared" si="3"/>
        <v>30292.798799999997</v>
      </c>
      <c r="L22" s="49">
        <f t="shared" si="3"/>
        <v>30292.798799999997</v>
      </c>
      <c r="M22" s="49">
        <f t="shared" si="3"/>
        <v>30292.798799999997</v>
      </c>
      <c r="N22" s="49">
        <f t="shared" si="3"/>
        <v>30292.798799999997</v>
      </c>
      <c r="O22" s="49">
        <f t="shared" si="3"/>
        <v>30292.798799999997</v>
      </c>
      <c r="P22" s="45">
        <f t="shared" si="1"/>
        <v>181756.79279999997</v>
      </c>
    </row>
    <row r="23" spans="2:15" ht="18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2:15" ht="18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ht="18" customHeight="1">
      <c r="B25" s="36" t="s">
        <v>141</v>
      </c>
    </row>
    <row r="26" spans="2:16" ht="18" customHeight="1">
      <c r="B26" s="36" t="s">
        <v>104</v>
      </c>
      <c r="C26" s="44">
        <f>'Full-time permanent staff Nos'!C24*'OPM GS Grades and Steps'!$B2</f>
        <v>0</v>
      </c>
      <c r="D26" s="44">
        <f>'Full-time permanent staff Nos'!D24*'OPM GS Grades and Steps'!$B2</f>
        <v>0</v>
      </c>
      <c r="E26" s="44">
        <f>'Full-time permanent staff Nos'!E24*'OPM GS Grades and Steps'!$B2</f>
        <v>0</v>
      </c>
      <c r="F26" s="44">
        <f>'Full-time permanent staff Nos'!F24*'OPM GS Grades and Steps'!$B2</f>
        <v>0</v>
      </c>
      <c r="G26" s="44">
        <f>'Full-time permanent staff Nos'!G24*'OPM GS Grades and Steps'!$B2</f>
        <v>0</v>
      </c>
      <c r="H26" s="44">
        <f>'Full-time permanent staff Nos'!H24*'OPM GS Grades and Steps'!$B2</f>
        <v>0</v>
      </c>
      <c r="I26" s="45">
        <f>SUM(C26:H26)</f>
        <v>0</v>
      </c>
      <c r="J26" s="44">
        <f>'Full-time permanent staff Nos'!I24*'OPM GS Grades and Steps'!$C2</f>
        <v>0</v>
      </c>
      <c r="K26" s="44">
        <f>'Full-time permanent staff Nos'!J24*'OPM GS Grades and Steps'!$C2</f>
        <v>0</v>
      </c>
      <c r="L26" s="44">
        <f>'Full-time permanent staff Nos'!K24*'OPM GS Grades and Steps'!$C2</f>
        <v>0</v>
      </c>
      <c r="M26" s="44">
        <f>'Full-time permanent staff Nos'!L24*'OPM GS Grades and Steps'!$C2</f>
        <v>0</v>
      </c>
      <c r="N26" s="44">
        <f>'Full-time permanent staff Nos'!M24*'OPM GS Grades and Steps'!$C2</f>
        <v>0</v>
      </c>
      <c r="O26" s="44">
        <f>'Full-time permanent staff Nos'!N24*'OPM GS Grades and Steps'!$C2</f>
        <v>0</v>
      </c>
      <c r="P26" s="45">
        <f>SUM(J26:O26)</f>
        <v>0</v>
      </c>
    </row>
    <row r="27" spans="2:16" ht="18" customHeight="1">
      <c r="B27" s="36" t="s">
        <v>105</v>
      </c>
      <c r="C27" s="46">
        <f>'Full-time permanent staff Nos'!C25*'OPM GS Grades and Steps'!$B3</f>
        <v>0</v>
      </c>
      <c r="D27" s="46">
        <f>'Full-time permanent staff Nos'!D25*'OPM GS Grades and Steps'!$B3</f>
        <v>0</v>
      </c>
      <c r="E27" s="46">
        <f>'Full-time permanent staff Nos'!E25*'OPM GS Grades and Steps'!$B3</f>
        <v>0</v>
      </c>
      <c r="F27" s="46">
        <f>'Full-time permanent staff Nos'!F25*'OPM GS Grades and Steps'!$B3</f>
        <v>0</v>
      </c>
      <c r="G27" s="46">
        <f>'Full-time permanent staff Nos'!G25*'OPM GS Grades and Steps'!$B3</f>
        <v>0</v>
      </c>
      <c r="H27" s="46">
        <f>'Full-time permanent staff Nos'!H25*'OPM GS Grades and Steps'!$B3</f>
        <v>0</v>
      </c>
      <c r="I27" s="47">
        <f aca="true" t="shared" si="4" ref="I27:I39">SUM(C27:H27)</f>
        <v>0</v>
      </c>
      <c r="J27" s="46">
        <f>'Full-time permanent staff Nos'!I25*'OPM GS Grades and Steps'!$C3</f>
        <v>0</v>
      </c>
      <c r="K27" s="46">
        <f>'Full-time permanent staff Nos'!J25*'OPM GS Grades and Steps'!$C3</f>
        <v>0</v>
      </c>
      <c r="L27" s="46">
        <f>'Full-time permanent staff Nos'!K25*'OPM GS Grades and Steps'!$C3</f>
        <v>0</v>
      </c>
      <c r="M27" s="46">
        <f>'Full-time permanent staff Nos'!L25*'OPM GS Grades and Steps'!$C3</f>
        <v>0</v>
      </c>
      <c r="N27" s="46">
        <f>'Full-time permanent staff Nos'!M25*'OPM GS Grades and Steps'!$C3</f>
        <v>0</v>
      </c>
      <c r="O27" s="46">
        <f>'Full-time permanent staff Nos'!N25*'OPM GS Grades and Steps'!$C3</f>
        <v>0</v>
      </c>
      <c r="P27" s="47">
        <f aca="true" t="shared" si="5" ref="P27:P41">SUM(J27:O27)</f>
        <v>0</v>
      </c>
    </row>
    <row r="28" spans="2:16" ht="18" customHeight="1">
      <c r="B28" s="36" t="s">
        <v>106</v>
      </c>
      <c r="C28" s="46">
        <f>'Full-time permanent staff Nos'!C26*'OPM GS Grades and Steps'!$B4</f>
        <v>0</v>
      </c>
      <c r="D28" s="46">
        <f>'Full-time permanent staff Nos'!D26*'OPM GS Grades and Steps'!$B4</f>
        <v>0</v>
      </c>
      <c r="E28" s="46">
        <f>'Full-time permanent staff Nos'!E26*'OPM GS Grades and Steps'!$B4</f>
        <v>0</v>
      </c>
      <c r="F28" s="46">
        <f>'Full-time permanent staff Nos'!F26*'OPM GS Grades and Steps'!$B4</f>
        <v>0</v>
      </c>
      <c r="G28" s="46">
        <f>'Full-time permanent staff Nos'!G26*'OPM GS Grades and Steps'!$B4</f>
        <v>0</v>
      </c>
      <c r="H28" s="46">
        <f>'Full-time permanent staff Nos'!H26*'OPM GS Grades and Steps'!$B4</f>
        <v>0</v>
      </c>
      <c r="I28" s="47">
        <f t="shared" si="4"/>
        <v>0</v>
      </c>
      <c r="J28" s="46">
        <f>'Full-time permanent staff Nos'!I26*'OPM GS Grades and Steps'!$C4</f>
        <v>0</v>
      </c>
      <c r="K28" s="46">
        <f>'Full-time permanent staff Nos'!J26*'OPM GS Grades and Steps'!$C4</f>
        <v>0</v>
      </c>
      <c r="L28" s="46">
        <f>'Full-time permanent staff Nos'!K26*'OPM GS Grades and Steps'!$C4</f>
        <v>0</v>
      </c>
      <c r="M28" s="46">
        <f>'Full-time permanent staff Nos'!L26*'OPM GS Grades and Steps'!$C4</f>
        <v>0</v>
      </c>
      <c r="N28" s="46">
        <f>'Full-time permanent staff Nos'!M26*'OPM GS Grades and Steps'!$C4</f>
        <v>0</v>
      </c>
      <c r="O28" s="46">
        <f>'Full-time permanent staff Nos'!N26*'OPM GS Grades and Steps'!$C4</f>
        <v>0</v>
      </c>
      <c r="P28" s="47">
        <f t="shared" si="5"/>
        <v>0</v>
      </c>
    </row>
    <row r="29" spans="2:16" ht="18" customHeight="1">
      <c r="B29" s="36" t="s">
        <v>107</v>
      </c>
      <c r="C29" s="46">
        <f>'Full-time permanent staff Nos'!C27*'OPM GS Grades and Steps'!$B5</f>
        <v>653471.9004350787</v>
      </c>
      <c r="D29" s="46">
        <f>'Full-time permanent staff Nos'!D27*'OPM GS Grades and Steps'!$B5</f>
        <v>492737.8281587593</v>
      </c>
      <c r="E29" s="46">
        <f>'Full-time permanent staff Nos'!E27*'OPM GS Grades and Steps'!$B5</f>
        <v>838864.6284073755</v>
      </c>
      <c r="F29" s="46">
        <f>'Full-time permanent staff Nos'!F27*'OPM GS Grades and Steps'!$B5</f>
        <v>552717.9447716578</v>
      </c>
      <c r="G29" s="46">
        <f>'Full-time permanent staff Nos'!G27*'OPM GS Grades and Steps'!$B5</f>
        <v>499843.1615710184</v>
      </c>
      <c r="H29" s="46">
        <f>'Full-time permanent staff Nos'!H27*'OPM GS Grades and Steps'!$B5</f>
        <v>686864.5366561103</v>
      </c>
      <c r="I29" s="47">
        <f t="shared" si="4"/>
        <v>3724500</v>
      </c>
      <c r="J29" s="46">
        <f>'Full-time permanent staff Nos'!I27*'OPM GS Grades and Steps'!$C5</f>
        <v>675265.7015124161</v>
      </c>
      <c r="K29" s="46">
        <f>'Full-time permanent staff Nos'!J27*'OPM GS Grades and Steps'!$C5</f>
        <v>509171.0216947347</v>
      </c>
      <c r="L29" s="46">
        <f>'Full-time permanent staff Nos'!K27*'OPM GS Grades and Steps'!$C5</f>
        <v>866841.4225589724</v>
      </c>
      <c r="M29" s="46">
        <f>'Full-time permanent staff Nos'!L27*'OPM GS Grades and Steps'!$C5</f>
        <v>571151.5223014769</v>
      </c>
      <c r="N29" s="46">
        <f>'Full-time permanent staff Nos'!M27*'OPM GS Grades and Steps'!$C5</f>
        <v>516513.32355639734</v>
      </c>
      <c r="O29" s="46">
        <f>'Full-time permanent staff Nos'!N27*'OPM GS Grades and Steps'!$C5</f>
        <v>709772.0083760025</v>
      </c>
      <c r="P29" s="47">
        <f t="shared" si="5"/>
        <v>3848715</v>
      </c>
    </row>
    <row r="30" spans="2:16" ht="18" customHeight="1">
      <c r="B30" s="36" t="s">
        <v>108</v>
      </c>
      <c r="C30" s="46">
        <f>'Full-time permanent staff Nos'!C28*'OPM GS Grades and Steps'!$B6</f>
        <v>0</v>
      </c>
      <c r="D30" s="46">
        <f>'Full-time permanent staff Nos'!D28*'OPM GS Grades and Steps'!$B6</f>
        <v>0</v>
      </c>
      <c r="E30" s="46">
        <f>'Full-time permanent staff Nos'!E28*'OPM GS Grades and Steps'!$B6</f>
        <v>0</v>
      </c>
      <c r="F30" s="46">
        <f>'Full-time permanent staff Nos'!F28*'OPM GS Grades and Steps'!$B6</f>
        <v>0</v>
      </c>
      <c r="G30" s="46">
        <f>'Full-time permanent staff Nos'!G28*'OPM GS Grades and Steps'!$B6</f>
        <v>0</v>
      </c>
      <c r="H30" s="46">
        <f>'Full-time permanent staff Nos'!H28*'OPM GS Grades and Steps'!$B6</f>
        <v>0</v>
      </c>
      <c r="I30" s="47">
        <f t="shared" si="4"/>
        <v>0</v>
      </c>
      <c r="J30" s="46">
        <f>'Full-time permanent staff Nos'!I28*'OPM GS Grades and Steps'!$C6</f>
        <v>0</v>
      </c>
      <c r="K30" s="46">
        <f>'Full-time permanent staff Nos'!J28*'OPM GS Grades and Steps'!$C6</f>
        <v>0</v>
      </c>
      <c r="L30" s="46">
        <f>'Full-time permanent staff Nos'!K28*'OPM GS Grades and Steps'!$C6</f>
        <v>0</v>
      </c>
      <c r="M30" s="46">
        <f>'Full-time permanent staff Nos'!L28*'OPM GS Grades and Steps'!$C6</f>
        <v>0</v>
      </c>
      <c r="N30" s="46">
        <f>'Full-time permanent staff Nos'!M28*'OPM GS Grades and Steps'!$C6</f>
        <v>0</v>
      </c>
      <c r="O30" s="46">
        <f>'Full-time permanent staff Nos'!N28*'OPM GS Grades and Steps'!$C6</f>
        <v>0</v>
      </c>
      <c r="P30" s="47">
        <f t="shared" si="5"/>
        <v>0</v>
      </c>
    </row>
    <row r="31" spans="2:16" ht="18" customHeight="1">
      <c r="B31" s="36" t="s">
        <v>109</v>
      </c>
      <c r="C31" s="46">
        <f>'Full-time permanent staff Nos'!C29*'OPM GS Grades and Steps'!$B7</f>
        <v>0</v>
      </c>
      <c r="D31" s="46">
        <f>'Full-time permanent staff Nos'!D29*'OPM GS Grades and Steps'!$B7</f>
        <v>0</v>
      </c>
      <c r="E31" s="46">
        <f>'Full-time permanent staff Nos'!E29*'OPM GS Grades and Steps'!$B7</f>
        <v>0</v>
      </c>
      <c r="F31" s="46">
        <f>'Full-time permanent staff Nos'!F29*'OPM GS Grades and Steps'!$B7</f>
        <v>0</v>
      </c>
      <c r="G31" s="46">
        <f>'Full-time permanent staff Nos'!G29*'OPM GS Grades and Steps'!$B7</f>
        <v>0</v>
      </c>
      <c r="H31" s="46">
        <f>'Full-time permanent staff Nos'!H29*'OPM GS Grades and Steps'!$B7</f>
        <v>0</v>
      </c>
      <c r="I31" s="47">
        <f t="shared" si="4"/>
        <v>0</v>
      </c>
      <c r="J31" s="46">
        <f>'Full-time permanent staff Nos'!I29*'OPM GS Grades and Steps'!$C7</f>
        <v>0</v>
      </c>
      <c r="K31" s="46">
        <f>'Full-time permanent staff Nos'!J29*'OPM GS Grades and Steps'!$C7</f>
        <v>0</v>
      </c>
      <c r="L31" s="46">
        <f>'Full-time permanent staff Nos'!K29*'OPM GS Grades and Steps'!$C7</f>
        <v>0</v>
      </c>
      <c r="M31" s="46">
        <f>'Full-time permanent staff Nos'!L29*'OPM GS Grades and Steps'!$C7</f>
        <v>0</v>
      </c>
      <c r="N31" s="46">
        <f>'Full-time permanent staff Nos'!M29*'OPM GS Grades and Steps'!$C7</f>
        <v>0</v>
      </c>
      <c r="O31" s="46">
        <f>'Full-time permanent staff Nos'!N29*'OPM GS Grades and Steps'!$C7</f>
        <v>0</v>
      </c>
      <c r="P31" s="47">
        <f t="shared" si="5"/>
        <v>0</v>
      </c>
    </row>
    <row r="32" spans="2:16" ht="18" customHeight="1">
      <c r="B32" s="36" t="s">
        <v>110</v>
      </c>
      <c r="C32" s="46">
        <f>'Full-time permanent staff Nos'!C30*'OPM GS Grades and Steps'!$B8</f>
        <v>238230</v>
      </c>
      <c r="D32" s="46">
        <f>'Full-time permanent staff Nos'!D30*'OPM GS Grades and Steps'!$B8</f>
        <v>158820</v>
      </c>
      <c r="E32" s="46">
        <f>'Full-time permanent staff Nos'!E30*'OPM GS Grades and Steps'!$B8</f>
        <v>317640</v>
      </c>
      <c r="F32" s="46">
        <f>'Full-time permanent staff Nos'!F30*'OPM GS Grades and Steps'!$B8</f>
        <v>185290</v>
      </c>
      <c r="G32" s="46">
        <f>'Full-time permanent staff Nos'!G30*'OPM GS Grades and Steps'!$B8</f>
        <v>211760</v>
      </c>
      <c r="H32" s="46">
        <f>'Full-time permanent staff Nos'!H30*'OPM GS Grades and Steps'!$B8</f>
        <v>238230</v>
      </c>
      <c r="I32" s="47">
        <f t="shared" si="4"/>
        <v>1349970</v>
      </c>
      <c r="J32" s="46">
        <f>'Full-time permanent staff Nos'!I30*'OPM GS Grades and Steps'!$C8</f>
        <v>246168</v>
      </c>
      <c r="K32" s="46">
        <f>'Full-time permanent staff Nos'!J30*'OPM GS Grades and Steps'!$C8</f>
        <v>164112</v>
      </c>
      <c r="L32" s="46">
        <f>'Full-time permanent staff Nos'!K30*'OPM GS Grades and Steps'!$C8</f>
        <v>328224</v>
      </c>
      <c r="M32" s="46">
        <f>'Full-time permanent staff Nos'!L30*'OPM GS Grades and Steps'!$C8</f>
        <v>191464</v>
      </c>
      <c r="N32" s="46">
        <f>'Full-time permanent staff Nos'!M30*'OPM GS Grades and Steps'!$C8</f>
        <v>218816</v>
      </c>
      <c r="O32" s="46">
        <f>'Full-time permanent staff Nos'!N30*'OPM GS Grades and Steps'!$C8</f>
        <v>246168</v>
      </c>
      <c r="P32" s="47">
        <f t="shared" si="5"/>
        <v>1394952</v>
      </c>
    </row>
    <row r="33" spans="2:16" ht="18" customHeight="1">
      <c r="B33" s="36" t="s">
        <v>111</v>
      </c>
      <c r="C33" s="46">
        <f>'Full-time permanent staff Nos'!C31*'OPM GS Grades and Steps'!$B9</f>
        <v>0</v>
      </c>
      <c r="D33" s="46">
        <f>'Full-time permanent staff Nos'!D31*'OPM GS Grades and Steps'!$B9</f>
        <v>0</v>
      </c>
      <c r="E33" s="46">
        <f>'Full-time permanent staff Nos'!E31*'OPM GS Grades and Steps'!$B9</f>
        <v>0</v>
      </c>
      <c r="F33" s="46">
        <f>'Full-time permanent staff Nos'!F31*'OPM GS Grades and Steps'!$B9</f>
        <v>0</v>
      </c>
      <c r="G33" s="46">
        <f>'Full-time permanent staff Nos'!G31*'OPM GS Grades and Steps'!$B9</f>
        <v>0</v>
      </c>
      <c r="H33" s="46">
        <f>'Full-time permanent staff Nos'!H31*'OPM GS Grades and Steps'!$B9</f>
        <v>0</v>
      </c>
      <c r="I33" s="47">
        <f t="shared" si="4"/>
        <v>0</v>
      </c>
      <c r="J33" s="46">
        <f>'Full-time permanent staff Nos'!I31*'OPM GS Grades and Steps'!$C9</f>
        <v>0</v>
      </c>
      <c r="K33" s="46">
        <f>'Full-time permanent staff Nos'!J31*'OPM GS Grades and Steps'!$C9</f>
        <v>0</v>
      </c>
      <c r="L33" s="46">
        <f>'Full-time permanent staff Nos'!K31*'OPM GS Grades and Steps'!$C9</f>
        <v>0</v>
      </c>
      <c r="M33" s="46">
        <f>'Full-time permanent staff Nos'!L31*'OPM GS Grades and Steps'!$C9</f>
        <v>0</v>
      </c>
      <c r="N33" s="46">
        <f>'Full-time permanent staff Nos'!M31*'OPM GS Grades and Steps'!$C9</f>
        <v>0</v>
      </c>
      <c r="O33" s="46">
        <f>'Full-time permanent staff Nos'!N31*'OPM GS Grades and Steps'!$C9</f>
        <v>0</v>
      </c>
      <c r="P33" s="47">
        <f t="shared" si="5"/>
        <v>0</v>
      </c>
    </row>
    <row r="34" spans="2:16" ht="18" customHeight="1">
      <c r="B34" s="36" t="s">
        <v>112</v>
      </c>
      <c r="C34" s="46">
        <f>'Full-time permanent staff Nos'!C32*'OPM GS Grades and Steps'!$B10</f>
        <v>32380</v>
      </c>
      <c r="D34" s="46">
        <f>'Full-time permanent staff Nos'!D32*'OPM GS Grades and Steps'!$B10</f>
        <v>32380</v>
      </c>
      <c r="E34" s="46">
        <f>'Full-time permanent staff Nos'!E32*'OPM GS Grades and Steps'!$B10</f>
        <v>32380</v>
      </c>
      <c r="F34" s="46">
        <f>'Full-time permanent staff Nos'!F32*'OPM GS Grades and Steps'!$B10</f>
        <v>32380</v>
      </c>
      <c r="G34" s="46">
        <f>'Full-time permanent staff Nos'!G32*'OPM GS Grades and Steps'!$B10</f>
        <v>32380</v>
      </c>
      <c r="H34" s="46">
        <f>'Full-time permanent staff Nos'!H32*'OPM GS Grades and Steps'!$B10</f>
        <v>32380</v>
      </c>
      <c r="I34" s="47">
        <f t="shared" si="4"/>
        <v>194280</v>
      </c>
      <c r="J34" s="46">
        <f>'Full-time permanent staff Nos'!I32*'OPM GS Grades and Steps'!$C10</f>
        <v>33459</v>
      </c>
      <c r="K34" s="46">
        <f>'Full-time permanent staff Nos'!J32*'OPM GS Grades and Steps'!$C10</f>
        <v>33459</v>
      </c>
      <c r="L34" s="46">
        <f>'Full-time permanent staff Nos'!K32*'OPM GS Grades and Steps'!$C10</f>
        <v>33459</v>
      </c>
      <c r="M34" s="46">
        <f>'Full-time permanent staff Nos'!L32*'OPM GS Grades and Steps'!$C10</f>
        <v>33459</v>
      </c>
      <c r="N34" s="46">
        <f>'Full-time permanent staff Nos'!M32*'OPM GS Grades and Steps'!$C10</f>
        <v>33459</v>
      </c>
      <c r="O34" s="46">
        <f>'Full-time permanent staff Nos'!N32*'OPM GS Grades and Steps'!$C10</f>
        <v>33459</v>
      </c>
      <c r="P34" s="47">
        <f t="shared" si="5"/>
        <v>200754</v>
      </c>
    </row>
    <row r="35" spans="2:16" ht="18" customHeight="1">
      <c r="B35" s="36" t="s">
        <v>113</v>
      </c>
      <c r="C35" s="46">
        <f>'Full-time permanent staff Nos'!C33*'OPM GS Grades and Steps'!$B11</f>
        <v>0</v>
      </c>
      <c r="D35" s="46">
        <f>'Full-time permanent staff Nos'!D33*'OPM GS Grades and Steps'!$B11</f>
        <v>0</v>
      </c>
      <c r="E35" s="46">
        <f>'Full-time permanent staff Nos'!E33*'OPM GS Grades and Steps'!$B11</f>
        <v>0</v>
      </c>
      <c r="F35" s="46">
        <f>'Full-time permanent staff Nos'!F33*'OPM GS Grades and Steps'!$B11</f>
        <v>0</v>
      </c>
      <c r="G35" s="46">
        <f>'Full-time permanent staff Nos'!G33*'OPM GS Grades and Steps'!$B11</f>
        <v>0</v>
      </c>
      <c r="H35" s="46">
        <f>'Full-time permanent staff Nos'!H33*'OPM GS Grades and Steps'!$B11</f>
        <v>0</v>
      </c>
      <c r="I35" s="47">
        <f t="shared" si="4"/>
        <v>0</v>
      </c>
      <c r="J35" s="46">
        <f>'Full-time permanent staff Nos'!I33*'OPM GS Grades and Steps'!$C11</f>
        <v>0</v>
      </c>
      <c r="K35" s="46">
        <f>'Full-time permanent staff Nos'!J33*'OPM GS Grades and Steps'!$C11</f>
        <v>0</v>
      </c>
      <c r="L35" s="46">
        <f>'Full-time permanent staff Nos'!K33*'OPM GS Grades and Steps'!$C11</f>
        <v>0</v>
      </c>
      <c r="M35" s="46">
        <f>'Full-time permanent staff Nos'!L33*'OPM GS Grades and Steps'!$C11</f>
        <v>0</v>
      </c>
      <c r="N35" s="46">
        <f>'Full-time permanent staff Nos'!M33*'OPM GS Grades and Steps'!$C11</f>
        <v>0</v>
      </c>
      <c r="O35" s="46">
        <f>'Full-time permanent staff Nos'!N33*'OPM GS Grades and Steps'!$C11</f>
        <v>0</v>
      </c>
      <c r="P35" s="47">
        <f t="shared" si="5"/>
        <v>0</v>
      </c>
    </row>
    <row r="36" spans="2:16" ht="18" customHeight="1">
      <c r="B36" s="36" t="s">
        <v>114</v>
      </c>
      <c r="C36" s="46">
        <f>'Full-time permanent staff Nos'!C34*'OPM GS Grades and Steps'!$B12</f>
        <v>1288477.4710620425</v>
      </c>
      <c r="D36" s="46">
        <f>'Full-time permanent staff Nos'!D34*'OPM GS Grades and Steps'!$B12</f>
        <v>948151.2099662506</v>
      </c>
      <c r="E36" s="46">
        <f>'Full-time permanent staff Nos'!E34*'OPM GS Grades and Steps'!$B12</f>
        <v>1588998.9044302728</v>
      </c>
      <c r="F36" s="46">
        <f>'Full-time permanent staff Nos'!F34*'OPM GS Grades and Steps'!$B12</f>
        <v>1026840.7530432882</v>
      </c>
      <c r="G36" s="46">
        <f>'Full-time permanent staff Nos'!G34*'OPM GS Grades and Steps'!$B12</f>
        <v>979330.5410293853</v>
      </c>
      <c r="H36" s="46">
        <f>'Full-time permanent staff Nos'!H34*'OPM GS Grades and Steps'!$B12</f>
        <v>1337775.1204687608</v>
      </c>
      <c r="I36" s="47">
        <f t="shared" si="4"/>
        <v>7169574</v>
      </c>
      <c r="J36" s="46">
        <f>'Full-time permanent staff Nos'!I34*'OPM GS Grades and Steps'!$C12</f>
        <v>1331428.912616155</v>
      </c>
      <c r="K36" s="46">
        <f>'Full-time permanent staff Nos'!J34*'OPM GS Grades and Steps'!$C12</f>
        <v>979757.8637060005</v>
      </c>
      <c r="L36" s="46">
        <f>'Full-time permanent staff Nos'!K34*'OPM GS Grades and Steps'!$C12</f>
        <v>1641968.2384745306</v>
      </c>
      <c r="M36" s="46">
        <f>'Full-time permanent staff Nos'!L34*'OPM GS Grades and Steps'!$C12</f>
        <v>1061070.5254531747</v>
      </c>
      <c r="N36" s="46">
        <f>'Full-time permanent staff Nos'!M34*'OPM GS Grades and Steps'!$C12</f>
        <v>1011976.5588604226</v>
      </c>
      <c r="O36" s="46">
        <f>'Full-time permanent staff Nos'!N34*'OPM GS Grades and Steps'!$C12</f>
        <v>1382369.9008897166</v>
      </c>
      <c r="P36" s="47">
        <f t="shared" si="5"/>
        <v>7408572</v>
      </c>
    </row>
    <row r="37" spans="2:16" ht="18" customHeight="1">
      <c r="B37" s="36" t="s">
        <v>115</v>
      </c>
      <c r="C37" s="46">
        <f>'Full-time permanent staff Nos'!C35*'OPM GS Grades and Steps'!$B13</f>
        <v>0</v>
      </c>
      <c r="D37" s="46">
        <f>'Full-time permanent staff Nos'!D35*'OPM GS Grades and Steps'!$B13</f>
        <v>0</v>
      </c>
      <c r="E37" s="46">
        <f>'Full-time permanent staff Nos'!E35*'OPM GS Grades and Steps'!$B13</f>
        <v>0</v>
      </c>
      <c r="F37" s="46">
        <f>'Full-time permanent staff Nos'!F35*'OPM GS Grades and Steps'!$B13</f>
        <v>0</v>
      </c>
      <c r="G37" s="46">
        <f>'Full-time permanent staff Nos'!G35*'OPM GS Grades and Steps'!$B13</f>
        <v>0</v>
      </c>
      <c r="H37" s="46">
        <f>'Full-time permanent staff Nos'!H35*'OPM GS Grades and Steps'!$B13</f>
        <v>0</v>
      </c>
      <c r="I37" s="47">
        <f t="shared" si="4"/>
        <v>0</v>
      </c>
      <c r="J37" s="46">
        <f>'Full-time permanent staff Nos'!I35*'OPM GS Grades and Steps'!$C13</f>
        <v>0</v>
      </c>
      <c r="K37" s="46">
        <f>'Full-time permanent staff Nos'!J35*'OPM GS Grades and Steps'!$C13</f>
        <v>0</v>
      </c>
      <c r="L37" s="46">
        <f>'Full-time permanent staff Nos'!K35*'OPM GS Grades and Steps'!$C13</f>
        <v>0</v>
      </c>
      <c r="M37" s="46">
        <f>'Full-time permanent staff Nos'!L35*'OPM GS Grades and Steps'!$C13</f>
        <v>0</v>
      </c>
      <c r="N37" s="46">
        <f>'Full-time permanent staff Nos'!M35*'OPM GS Grades and Steps'!$C13</f>
        <v>0</v>
      </c>
      <c r="O37" s="46">
        <f>'Full-time permanent staff Nos'!N35*'OPM GS Grades and Steps'!$C13</f>
        <v>0</v>
      </c>
      <c r="P37" s="47">
        <f t="shared" si="5"/>
        <v>0</v>
      </c>
    </row>
    <row r="38" spans="2:16" ht="18" customHeight="1">
      <c r="B38" s="36" t="s">
        <v>116</v>
      </c>
      <c r="C38" s="46">
        <f>'Full-time permanent staff Nos'!C36*'OPM GS Grades and Steps'!$B14</f>
        <v>111674</v>
      </c>
      <c r="D38" s="46">
        <f>'Full-time permanent staff Nos'!D36*'OPM GS Grades and Steps'!$B14</f>
        <v>111674</v>
      </c>
      <c r="E38" s="46">
        <f>'Full-time permanent staff Nos'!E36*'OPM GS Grades and Steps'!$B14</f>
        <v>111674</v>
      </c>
      <c r="F38" s="46">
        <f>'Full-time permanent staff Nos'!F36*'OPM GS Grades and Steps'!$B14</f>
        <v>111674</v>
      </c>
      <c r="G38" s="46">
        <f>'Full-time permanent staff Nos'!G36*'OPM GS Grades and Steps'!$B14</f>
        <v>111674</v>
      </c>
      <c r="H38" s="46">
        <f>'Full-time permanent staff Nos'!H36*'OPM GS Grades and Steps'!$B14</f>
        <v>111674</v>
      </c>
      <c r="I38" s="47">
        <f t="shared" si="4"/>
        <v>670044</v>
      </c>
      <c r="J38" s="46">
        <f>'Full-time permanent staff Nos'!I36*'OPM GS Grades and Steps'!$C14</f>
        <v>115396</v>
      </c>
      <c r="K38" s="46">
        <f>'Full-time permanent staff Nos'!J36*'OPM GS Grades and Steps'!$C14</f>
        <v>115396</v>
      </c>
      <c r="L38" s="46">
        <f>'Full-time permanent staff Nos'!K36*'OPM GS Grades and Steps'!$C14</f>
        <v>115396</v>
      </c>
      <c r="M38" s="46">
        <f>'Full-time permanent staff Nos'!L36*'OPM GS Grades and Steps'!$C14</f>
        <v>115396</v>
      </c>
      <c r="N38" s="46">
        <f>'Full-time permanent staff Nos'!M36*'OPM GS Grades and Steps'!$C14</f>
        <v>115396</v>
      </c>
      <c r="O38" s="46">
        <f>'Full-time permanent staff Nos'!N36*'OPM GS Grades and Steps'!$C14</f>
        <v>115396</v>
      </c>
      <c r="P38" s="47">
        <f t="shared" si="5"/>
        <v>692376</v>
      </c>
    </row>
    <row r="39" spans="2:16" ht="18" customHeight="1">
      <c r="B39" s="36" t="s">
        <v>117</v>
      </c>
      <c r="C39" s="46">
        <f>'Full-time permanent staff Nos'!C37*'OPM GS Grades and Steps'!$B15</f>
        <v>0</v>
      </c>
      <c r="D39" s="46">
        <f>'Full-time permanent staff Nos'!D37*'OPM GS Grades and Steps'!$B15</f>
        <v>0</v>
      </c>
      <c r="E39" s="46">
        <f>'Full-time permanent staff Nos'!E37*'OPM GS Grades and Steps'!$B15</f>
        <v>0</v>
      </c>
      <c r="F39" s="46">
        <f>'Full-time permanent staff Nos'!F37*'OPM GS Grades and Steps'!$B15</f>
        <v>0</v>
      </c>
      <c r="G39" s="46">
        <f>'Full-time permanent staff Nos'!G37*'OPM GS Grades and Steps'!$B15</f>
        <v>0</v>
      </c>
      <c r="H39" s="46">
        <f>'Full-time permanent staff Nos'!H37*'OPM GS Grades and Steps'!$B15</f>
        <v>0</v>
      </c>
      <c r="I39" s="47">
        <f t="shared" si="4"/>
        <v>0</v>
      </c>
      <c r="J39" s="46">
        <f>'Full-time permanent staff Nos'!I37*'OPM GS Grades and Steps'!$C15</f>
        <v>0</v>
      </c>
      <c r="K39" s="46">
        <f>'Full-time permanent staff Nos'!J37*'OPM GS Grades and Steps'!$C15</f>
        <v>0</v>
      </c>
      <c r="L39" s="46">
        <f>'Full-time permanent staff Nos'!K37*'OPM GS Grades and Steps'!$C15</f>
        <v>0</v>
      </c>
      <c r="M39" s="46">
        <f>'Full-time permanent staff Nos'!L37*'OPM GS Grades and Steps'!$C15</f>
        <v>0</v>
      </c>
      <c r="N39" s="46">
        <f>'Full-time permanent staff Nos'!M37*'OPM GS Grades and Steps'!$C15</f>
        <v>0</v>
      </c>
      <c r="O39" s="46">
        <f>'Full-time permanent staff Nos'!N37*'OPM GS Grades and Steps'!$C15</f>
        <v>0</v>
      </c>
      <c r="P39" s="47">
        <f t="shared" si="5"/>
        <v>0</v>
      </c>
    </row>
    <row r="40" spans="2:16" ht="18" customHeight="1">
      <c r="B40" s="36" t="s">
        <v>118</v>
      </c>
      <c r="C40" s="46">
        <f>'Full-time permanent staff Nos'!C38*'OPM GS Grades and Steps'!$B16</f>
        <v>0</v>
      </c>
      <c r="D40" s="46">
        <f>'Full-time permanent staff Nos'!D38*'OPM GS Grades and Steps'!$B16</f>
        <v>0</v>
      </c>
      <c r="E40" s="46">
        <f>'Full-time permanent staff Nos'!E38*'OPM GS Grades and Steps'!$B16</f>
        <v>0</v>
      </c>
      <c r="F40" s="46">
        <f>'Full-time permanent staff Nos'!F38*'OPM GS Grades and Steps'!$B16</f>
        <v>0</v>
      </c>
      <c r="G40" s="46">
        <f>'Full-time permanent staff Nos'!G38*'OPM GS Grades and Steps'!$B16</f>
        <v>0</v>
      </c>
      <c r="H40" s="46">
        <f>'Full-time permanent staff Nos'!H38*'OPM GS Grades and Steps'!$B16</f>
        <v>0</v>
      </c>
      <c r="I40" s="47">
        <f>SUM(C40:H40)</f>
        <v>0</v>
      </c>
      <c r="J40" s="46">
        <f>'Full-time permanent staff Nos'!I38*'OPM GS Grades and Steps'!$C16</f>
        <v>0</v>
      </c>
      <c r="K40" s="46">
        <f>'Full-time permanent staff Nos'!J38*'OPM GS Grades and Steps'!$C16</f>
        <v>0</v>
      </c>
      <c r="L40" s="46">
        <f>'Full-time permanent staff Nos'!K38*'OPM GS Grades and Steps'!$C16</f>
        <v>0</v>
      </c>
      <c r="M40" s="46">
        <f>'Full-time permanent staff Nos'!L38*'OPM GS Grades and Steps'!$C16</f>
        <v>0</v>
      </c>
      <c r="N40" s="46">
        <f>'Full-time permanent staff Nos'!M38*'OPM GS Grades and Steps'!$C16</f>
        <v>0</v>
      </c>
      <c r="O40" s="46">
        <f>'Full-time permanent staff Nos'!N38*'OPM GS Grades and Steps'!$C16</f>
        <v>0</v>
      </c>
      <c r="P40" s="47">
        <f t="shared" si="5"/>
        <v>0</v>
      </c>
    </row>
    <row r="41" spans="2:16" ht="18" customHeight="1">
      <c r="B41" s="48" t="s">
        <v>73</v>
      </c>
      <c r="C41" s="49">
        <f aca="true" t="shared" si="6" ref="C41:H41">SUM(C26:C40)</f>
        <v>2324233.371497121</v>
      </c>
      <c r="D41" s="49">
        <f t="shared" si="6"/>
        <v>1743763.0381250097</v>
      </c>
      <c r="E41" s="49">
        <f t="shared" si="6"/>
        <v>2889557.532837648</v>
      </c>
      <c r="F41" s="49">
        <f t="shared" si="6"/>
        <v>1908902.697814946</v>
      </c>
      <c r="G41" s="49">
        <f t="shared" si="6"/>
        <v>1834987.7026004037</v>
      </c>
      <c r="H41" s="49">
        <f t="shared" si="6"/>
        <v>2406923.6571248714</v>
      </c>
      <c r="I41" s="45">
        <f>SUM(C41:H41)</f>
        <v>13108368.000000002</v>
      </c>
      <c r="J41" s="49">
        <f aca="true" t="shared" si="7" ref="J41:O41">SUM(J26:J40)</f>
        <v>2401717.614128571</v>
      </c>
      <c r="K41" s="49">
        <f t="shared" si="7"/>
        <v>1801895.8854007353</v>
      </c>
      <c r="L41" s="49">
        <f t="shared" si="7"/>
        <v>2985888.661033503</v>
      </c>
      <c r="M41" s="49">
        <f t="shared" si="7"/>
        <v>1972541.0477546516</v>
      </c>
      <c r="N41" s="49">
        <f t="shared" si="7"/>
        <v>1896160.88241682</v>
      </c>
      <c r="O41" s="49">
        <f t="shared" si="7"/>
        <v>2487164.9092657194</v>
      </c>
      <c r="P41" s="45">
        <f t="shared" si="5"/>
        <v>13545369</v>
      </c>
    </row>
  </sheetData>
  <mergeCells count="2">
    <mergeCell ref="C1:I1"/>
    <mergeCell ref="J1:P1"/>
  </mergeCells>
  <printOptions/>
  <pageMargins left="1" right="1" top="1" bottom="1" header="0.5" footer="0.5"/>
  <pageSetup horizontalDpi="300" verticalDpi="300" orientation="landscape" r:id="rId1"/>
  <headerFooter alignWithMargins="0">
    <oddHeader>&amp;C&amp;"Times New Roman,Bold"&amp;12&amp;U&amp;A&amp;R&amp;"Times New Roman,Regular"&amp;12Appendix D</oddHeader>
    <oddFooter>&amp;C&amp;"Times New Roman,Regular"&amp;12D-&amp;P</oddFooter>
  </headerFooter>
  <rowBreaks count="1" manualBreakCount="1">
    <brk id="23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2" ySplit="2" topLeftCell="C13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O36" sqref="O36"/>
    </sheetView>
  </sheetViews>
  <sheetFormatPr defaultColWidth="9.140625" defaultRowHeight="15" customHeight="1"/>
  <cols>
    <col min="1" max="1" width="5.00390625" style="35" bestFit="1" customWidth="1"/>
    <col min="2" max="2" width="20.28125" style="32" customWidth="1"/>
    <col min="3" max="14" width="4.28125" style="66" customWidth="1"/>
    <col min="15" max="16384" width="9.140625" style="32" customWidth="1"/>
  </cols>
  <sheetData>
    <row r="1" spans="3:14" s="35" customFormat="1" ht="15" customHeight="1">
      <c r="C1" s="84" t="s">
        <v>0</v>
      </c>
      <c r="D1" s="85"/>
      <c r="E1" s="85"/>
      <c r="F1" s="85"/>
      <c r="G1" s="85"/>
      <c r="H1" s="86"/>
      <c r="I1" s="84" t="s">
        <v>1</v>
      </c>
      <c r="J1" s="85"/>
      <c r="K1" s="85"/>
      <c r="L1" s="85"/>
      <c r="M1" s="85"/>
      <c r="N1" s="86"/>
    </row>
    <row r="2" spans="3:14" s="55" customFormat="1" ht="15" customHeight="1">
      <c r="C2" s="60" t="s">
        <v>67</v>
      </c>
      <c r="D2" s="61" t="s">
        <v>68</v>
      </c>
      <c r="E2" s="61" t="s">
        <v>71</v>
      </c>
      <c r="F2" s="61" t="s">
        <v>66</v>
      </c>
      <c r="G2" s="61" t="s">
        <v>70</v>
      </c>
      <c r="H2" s="62" t="s">
        <v>69</v>
      </c>
      <c r="I2" s="60" t="s">
        <v>67</v>
      </c>
      <c r="J2" s="61" t="s">
        <v>68</v>
      </c>
      <c r="K2" s="61" t="s">
        <v>71</v>
      </c>
      <c r="L2" s="61" t="s">
        <v>66</v>
      </c>
      <c r="M2" s="61" t="s">
        <v>70</v>
      </c>
      <c r="N2" s="62" t="s">
        <v>69</v>
      </c>
    </row>
    <row r="3" spans="3:14" ht="15" customHeight="1">
      <c r="C3" s="63"/>
      <c r="D3" s="64"/>
      <c r="E3" s="64"/>
      <c r="F3" s="64"/>
      <c r="G3" s="64"/>
      <c r="H3" s="65"/>
      <c r="I3" s="63"/>
      <c r="J3" s="64"/>
      <c r="K3" s="64"/>
      <c r="L3" s="64"/>
      <c r="M3" s="64"/>
      <c r="N3" s="65"/>
    </row>
    <row r="4" spans="1:14" ht="15" customHeight="1">
      <c r="A4" s="35">
        <v>11.1</v>
      </c>
      <c r="B4" s="32" t="s">
        <v>75</v>
      </c>
      <c r="C4" s="63"/>
      <c r="D4" s="64"/>
      <c r="E4" s="64"/>
      <c r="F4" s="64"/>
      <c r="G4" s="64"/>
      <c r="H4" s="65"/>
      <c r="I4" s="63"/>
      <c r="J4" s="64"/>
      <c r="K4" s="64"/>
      <c r="L4" s="64"/>
      <c r="M4" s="64"/>
      <c r="N4" s="65"/>
    </row>
    <row r="5" spans="3:14" ht="15" customHeight="1">
      <c r="C5" s="63"/>
      <c r="D5" s="64"/>
      <c r="E5" s="64"/>
      <c r="F5" s="64"/>
      <c r="G5" s="64"/>
      <c r="H5" s="65"/>
      <c r="I5" s="63"/>
      <c r="J5" s="64"/>
      <c r="K5" s="64"/>
      <c r="L5" s="64"/>
      <c r="M5" s="64"/>
      <c r="N5" s="65"/>
    </row>
    <row r="6" spans="2:14" ht="15" customHeight="1">
      <c r="B6" s="32" t="s">
        <v>103</v>
      </c>
      <c r="C6" s="63"/>
      <c r="D6" s="64"/>
      <c r="E6" s="64"/>
      <c r="F6" s="64"/>
      <c r="G6" s="64"/>
      <c r="H6" s="65"/>
      <c r="I6" s="63"/>
      <c r="J6" s="64"/>
      <c r="K6" s="64"/>
      <c r="L6" s="64"/>
      <c r="M6" s="64"/>
      <c r="N6" s="65"/>
    </row>
    <row r="7" spans="2:14" ht="15" customHeight="1">
      <c r="B7" s="36" t="s">
        <v>104</v>
      </c>
      <c r="C7" s="63"/>
      <c r="D7" s="64"/>
      <c r="E7" s="64"/>
      <c r="F7" s="64"/>
      <c r="G7" s="64"/>
      <c r="H7" s="65"/>
      <c r="I7" s="63"/>
      <c r="J7" s="64"/>
      <c r="K7" s="64"/>
      <c r="L7" s="64"/>
      <c r="M7" s="64"/>
      <c r="N7" s="65"/>
    </row>
    <row r="8" spans="2:14" ht="15" customHeight="1">
      <c r="B8" s="36" t="s">
        <v>105</v>
      </c>
      <c r="C8" s="63"/>
      <c r="D8" s="64"/>
      <c r="E8" s="64"/>
      <c r="F8" s="64"/>
      <c r="G8" s="64"/>
      <c r="H8" s="65"/>
      <c r="I8" s="63"/>
      <c r="J8" s="64"/>
      <c r="K8" s="64"/>
      <c r="L8" s="64"/>
      <c r="M8" s="64"/>
      <c r="N8" s="65"/>
    </row>
    <row r="9" spans="2:14" ht="15" customHeight="1">
      <c r="B9" s="36" t="s">
        <v>106</v>
      </c>
      <c r="C9" s="63"/>
      <c r="D9" s="64"/>
      <c r="E9" s="64"/>
      <c r="F9" s="64"/>
      <c r="G9" s="64"/>
      <c r="H9" s="65"/>
      <c r="I9" s="63"/>
      <c r="J9" s="64"/>
      <c r="K9" s="64"/>
      <c r="L9" s="64"/>
      <c r="M9" s="64"/>
      <c r="N9" s="65"/>
    </row>
    <row r="10" spans="2:14" ht="15" customHeight="1">
      <c r="B10" s="36" t="s">
        <v>107</v>
      </c>
      <c r="C10" s="63">
        <v>2</v>
      </c>
      <c r="D10" s="64">
        <v>2</v>
      </c>
      <c r="E10" s="64">
        <v>2</v>
      </c>
      <c r="F10" s="64">
        <v>2</v>
      </c>
      <c r="G10" s="64">
        <v>2</v>
      </c>
      <c r="H10" s="65">
        <v>2</v>
      </c>
      <c r="I10" s="63">
        <v>2</v>
      </c>
      <c r="J10" s="64">
        <v>2</v>
      </c>
      <c r="K10" s="64">
        <v>2</v>
      </c>
      <c r="L10" s="64">
        <v>2</v>
      </c>
      <c r="M10" s="64">
        <v>2</v>
      </c>
      <c r="N10" s="65">
        <v>2</v>
      </c>
    </row>
    <row r="11" spans="2:14" ht="15" customHeight="1">
      <c r="B11" s="36" t="s">
        <v>108</v>
      </c>
      <c r="C11" s="63"/>
      <c r="D11" s="64"/>
      <c r="E11" s="64"/>
      <c r="F11" s="64"/>
      <c r="G11" s="64"/>
      <c r="H11" s="65"/>
      <c r="I11" s="63"/>
      <c r="J11" s="64"/>
      <c r="K11" s="64"/>
      <c r="L11" s="64"/>
      <c r="M11" s="64"/>
      <c r="N11" s="65"/>
    </row>
    <row r="12" spans="2:14" ht="15" customHeight="1">
      <c r="B12" s="36" t="s">
        <v>109</v>
      </c>
      <c r="C12" s="63"/>
      <c r="D12" s="64"/>
      <c r="E12" s="64"/>
      <c r="F12" s="64"/>
      <c r="G12" s="64"/>
      <c r="H12" s="65"/>
      <c r="I12" s="63"/>
      <c r="J12" s="64"/>
      <c r="K12" s="64"/>
      <c r="L12" s="64"/>
      <c r="M12" s="64"/>
      <c r="N12" s="65"/>
    </row>
    <row r="13" spans="2:14" ht="15" customHeight="1">
      <c r="B13" s="36" t="s">
        <v>110</v>
      </c>
      <c r="C13" s="63"/>
      <c r="D13" s="64"/>
      <c r="E13" s="64"/>
      <c r="F13" s="64"/>
      <c r="G13" s="64"/>
      <c r="H13" s="65"/>
      <c r="I13" s="63"/>
      <c r="J13" s="64"/>
      <c r="K13" s="64"/>
      <c r="L13" s="64"/>
      <c r="M13" s="64"/>
      <c r="N13" s="65"/>
    </row>
    <row r="14" spans="2:14" ht="15" customHeight="1">
      <c r="B14" s="36" t="s">
        <v>111</v>
      </c>
      <c r="C14" s="63"/>
      <c r="D14" s="64"/>
      <c r="E14" s="64"/>
      <c r="F14" s="64"/>
      <c r="G14" s="64"/>
      <c r="H14" s="65"/>
      <c r="I14" s="63"/>
      <c r="J14" s="64"/>
      <c r="K14" s="64"/>
      <c r="L14" s="64"/>
      <c r="M14" s="64"/>
      <c r="N14" s="65"/>
    </row>
    <row r="15" spans="2:14" ht="15" customHeight="1">
      <c r="B15" s="36" t="s">
        <v>112</v>
      </c>
      <c r="C15" s="63">
        <v>1</v>
      </c>
      <c r="D15" s="64">
        <v>1</v>
      </c>
      <c r="E15" s="64">
        <v>1</v>
      </c>
      <c r="F15" s="64">
        <v>1</v>
      </c>
      <c r="G15" s="64">
        <v>1</v>
      </c>
      <c r="H15" s="65">
        <v>1</v>
      </c>
      <c r="I15" s="63">
        <v>1</v>
      </c>
      <c r="J15" s="64">
        <v>1</v>
      </c>
      <c r="K15" s="64">
        <v>1</v>
      </c>
      <c r="L15" s="64">
        <v>1</v>
      </c>
      <c r="M15" s="64">
        <v>1</v>
      </c>
      <c r="N15" s="65">
        <v>1</v>
      </c>
    </row>
    <row r="16" spans="2:14" ht="15" customHeight="1">
      <c r="B16" s="36" t="s">
        <v>113</v>
      </c>
      <c r="C16" s="63"/>
      <c r="D16" s="64"/>
      <c r="E16" s="64"/>
      <c r="F16" s="64"/>
      <c r="G16" s="64"/>
      <c r="H16" s="65"/>
      <c r="I16" s="63"/>
      <c r="J16" s="64"/>
      <c r="K16" s="64"/>
      <c r="L16" s="64"/>
      <c r="M16" s="64"/>
      <c r="N16" s="65"/>
    </row>
    <row r="17" spans="2:14" ht="15" customHeight="1">
      <c r="B17" s="36" t="s">
        <v>114</v>
      </c>
      <c r="C17" s="63">
        <v>2</v>
      </c>
      <c r="D17" s="64">
        <v>2</v>
      </c>
      <c r="E17" s="64">
        <v>2</v>
      </c>
      <c r="F17" s="64">
        <v>2</v>
      </c>
      <c r="G17" s="64">
        <v>2</v>
      </c>
      <c r="H17" s="64">
        <v>2</v>
      </c>
      <c r="I17" s="63">
        <v>2</v>
      </c>
      <c r="J17" s="64">
        <v>2</v>
      </c>
      <c r="K17" s="64">
        <v>2</v>
      </c>
      <c r="L17" s="64">
        <v>2</v>
      </c>
      <c r="M17" s="64">
        <v>2</v>
      </c>
      <c r="N17" s="65">
        <v>2</v>
      </c>
    </row>
    <row r="18" spans="2:14" ht="15" customHeight="1">
      <c r="B18" s="36" t="s">
        <v>115</v>
      </c>
      <c r="C18" s="63"/>
      <c r="D18" s="64"/>
      <c r="E18" s="64"/>
      <c r="F18" s="64"/>
      <c r="G18" s="64"/>
      <c r="H18" s="65"/>
      <c r="I18" s="63"/>
      <c r="J18" s="64"/>
      <c r="K18" s="64"/>
      <c r="L18" s="64"/>
      <c r="M18" s="64"/>
      <c r="N18" s="65"/>
    </row>
    <row r="19" spans="2:14" ht="15" customHeight="1">
      <c r="B19" s="36" t="s">
        <v>116</v>
      </c>
      <c r="C19" s="63"/>
      <c r="D19" s="64"/>
      <c r="E19" s="64"/>
      <c r="F19" s="64"/>
      <c r="G19" s="64"/>
      <c r="H19" s="65"/>
      <c r="I19" s="63"/>
      <c r="J19" s="64"/>
      <c r="K19" s="64"/>
      <c r="L19" s="64"/>
      <c r="M19" s="64"/>
      <c r="N19" s="65"/>
    </row>
    <row r="20" spans="2:14" ht="15" customHeight="1">
      <c r="B20" s="36" t="s">
        <v>117</v>
      </c>
      <c r="C20" s="63"/>
      <c r="D20" s="64"/>
      <c r="E20" s="64"/>
      <c r="F20" s="64"/>
      <c r="G20" s="64"/>
      <c r="H20" s="65"/>
      <c r="I20" s="63"/>
      <c r="J20" s="64"/>
      <c r="K20" s="64"/>
      <c r="L20" s="64"/>
      <c r="M20" s="64"/>
      <c r="N20" s="65"/>
    </row>
    <row r="21" spans="2:14" ht="15" customHeight="1">
      <c r="B21" s="36" t="s">
        <v>118</v>
      </c>
      <c r="C21" s="63">
        <v>1</v>
      </c>
      <c r="D21" s="64">
        <v>1</v>
      </c>
      <c r="E21" s="64">
        <v>1</v>
      </c>
      <c r="F21" s="64">
        <v>1</v>
      </c>
      <c r="G21" s="64">
        <v>1</v>
      </c>
      <c r="H21" s="65">
        <v>1</v>
      </c>
      <c r="I21" s="63">
        <v>1</v>
      </c>
      <c r="J21" s="64">
        <v>1</v>
      </c>
      <c r="K21" s="64">
        <v>1</v>
      </c>
      <c r="L21" s="64">
        <v>1</v>
      </c>
      <c r="M21" s="64">
        <v>1</v>
      </c>
      <c r="N21" s="65">
        <v>1</v>
      </c>
    </row>
    <row r="22" spans="1:14" ht="15" customHeight="1">
      <c r="A22" s="76">
        <v>120</v>
      </c>
      <c r="B22" s="54">
        <v>0</v>
      </c>
      <c r="C22" s="63"/>
      <c r="D22" s="64"/>
      <c r="E22" s="64"/>
      <c r="F22" s="64"/>
      <c r="G22" s="64"/>
      <c r="H22" s="65"/>
      <c r="I22" s="63"/>
      <c r="J22" s="64"/>
      <c r="K22" s="64"/>
      <c r="L22" s="64"/>
      <c r="M22" s="64"/>
      <c r="N22" s="65"/>
    </row>
    <row r="23" spans="2:14" ht="15" customHeight="1">
      <c r="B23" s="32" t="s">
        <v>102</v>
      </c>
      <c r="C23" s="63"/>
      <c r="D23" s="64"/>
      <c r="E23" s="64"/>
      <c r="F23" s="64"/>
      <c r="G23" s="64"/>
      <c r="H23" s="65"/>
      <c r="I23" s="63"/>
      <c r="J23" s="64"/>
      <c r="K23" s="64"/>
      <c r="L23" s="64"/>
      <c r="M23" s="64"/>
      <c r="N23" s="65"/>
    </row>
    <row r="24" spans="2:14" ht="15" customHeight="1">
      <c r="B24" s="36" t="s">
        <v>104</v>
      </c>
      <c r="C24" s="63"/>
      <c r="D24" s="64"/>
      <c r="E24" s="64"/>
      <c r="F24" s="64"/>
      <c r="G24" s="64"/>
      <c r="H24" s="65"/>
      <c r="I24" s="63"/>
      <c r="J24" s="64"/>
      <c r="K24" s="64"/>
      <c r="L24" s="64"/>
      <c r="M24" s="64"/>
      <c r="N24" s="65"/>
    </row>
    <row r="25" spans="2:14" ht="15" customHeight="1">
      <c r="B25" s="36" t="s">
        <v>105</v>
      </c>
      <c r="C25" s="63"/>
      <c r="D25" s="64"/>
      <c r="E25" s="64"/>
      <c r="F25" s="64"/>
      <c r="G25" s="64"/>
      <c r="H25" s="65"/>
      <c r="I25" s="63"/>
      <c r="J25" s="64"/>
      <c r="K25" s="64"/>
      <c r="L25" s="64"/>
      <c r="M25" s="64"/>
      <c r="N25" s="65"/>
    </row>
    <row r="26" spans="2:14" ht="15" customHeight="1">
      <c r="B26" s="36" t="s">
        <v>106</v>
      </c>
      <c r="C26" s="63"/>
      <c r="D26" s="64"/>
      <c r="E26" s="64"/>
      <c r="F26" s="64"/>
      <c r="G26" s="64"/>
      <c r="H26" s="64"/>
      <c r="I26" s="63"/>
      <c r="J26" s="64"/>
      <c r="K26" s="64"/>
      <c r="L26" s="64"/>
      <c r="M26" s="64"/>
      <c r="N26" s="65"/>
    </row>
    <row r="27" spans="2:14" ht="15" customHeight="1">
      <c r="B27" s="36" t="s">
        <v>107</v>
      </c>
      <c r="C27" s="63">
        <f>'Grants Allocation'!C15+4+Demographics!C55*$A$22</f>
        <v>34.21318850445438</v>
      </c>
      <c r="D27" s="64">
        <f>'Grants Allocation'!D15+4+Demographics!D55*$A$22</f>
        <v>25.797792050196822</v>
      </c>
      <c r="E27" s="64">
        <f>'Grants Allocation'!E15+4+Demographics!E55*$A$22</f>
        <v>43.919614052742176</v>
      </c>
      <c r="F27" s="64">
        <f>'Grants Allocation'!F15+4+Demographics!F55*$A$22</f>
        <v>28.93811229170983</v>
      </c>
      <c r="G27" s="64">
        <f>'Grants Allocation'!G15+4+Demographics!G55*$A$22</f>
        <v>26.169799035131852</v>
      </c>
      <c r="H27" s="64">
        <f>'Grants Allocation'!H15+4+Demographics!H55*$A$22</f>
        <v>35.96149406576494</v>
      </c>
      <c r="I27" s="63">
        <f>'Grants Allocation'!C15+4+Demographics!C55*$A$22</f>
        <v>34.21318850445438</v>
      </c>
      <c r="J27" s="64">
        <f>'Grants Allocation'!D15+4+Demographics!D55*$A$22</f>
        <v>25.797792050196822</v>
      </c>
      <c r="K27" s="64">
        <f>'Grants Allocation'!E15+4+Demographics!E55*$A$22</f>
        <v>43.919614052742176</v>
      </c>
      <c r="L27" s="64">
        <f>'Grants Allocation'!F15+4+Demographics!F55*$A$22</f>
        <v>28.93811229170983</v>
      </c>
      <c r="M27" s="64">
        <f>'Grants Allocation'!G15+4+Demographics!G55*$A$22</f>
        <v>26.169799035131852</v>
      </c>
      <c r="N27" s="65">
        <f>'Grants Allocation'!H15+4+Demographics!H55*$A$22</f>
        <v>35.96149406576494</v>
      </c>
    </row>
    <row r="28" spans="2:14" ht="15" customHeight="1">
      <c r="B28" s="36" t="s">
        <v>108</v>
      </c>
      <c r="C28" s="63"/>
      <c r="D28" s="64"/>
      <c r="E28" s="64"/>
      <c r="F28" s="64"/>
      <c r="G28" s="64"/>
      <c r="H28" s="64"/>
      <c r="I28" s="63"/>
      <c r="J28" s="64"/>
      <c r="K28" s="64"/>
      <c r="L28" s="64"/>
      <c r="M28" s="64"/>
      <c r="N28" s="65"/>
    </row>
    <row r="29" spans="2:14" ht="15" customHeight="1">
      <c r="B29" s="36" t="s">
        <v>109</v>
      </c>
      <c r="C29" s="63"/>
      <c r="D29" s="64"/>
      <c r="E29" s="64"/>
      <c r="F29" s="64"/>
      <c r="G29" s="64"/>
      <c r="H29" s="65"/>
      <c r="I29" s="63"/>
      <c r="J29" s="64"/>
      <c r="K29" s="64"/>
      <c r="L29" s="64"/>
      <c r="M29" s="64"/>
      <c r="N29" s="65"/>
    </row>
    <row r="30" spans="2:14" ht="15" customHeight="1">
      <c r="B30" s="36" t="s">
        <v>110</v>
      </c>
      <c r="C30" s="63">
        <f>'Grants Allocation'!C15</f>
        <v>9</v>
      </c>
      <c r="D30" s="64">
        <f>'Grants Allocation'!D15</f>
        <v>6</v>
      </c>
      <c r="E30" s="64">
        <f>'Grants Allocation'!E15</f>
        <v>12</v>
      </c>
      <c r="F30" s="64">
        <f>'Grants Allocation'!F15</f>
        <v>7</v>
      </c>
      <c r="G30" s="64">
        <f>'Grants Allocation'!G15</f>
        <v>8</v>
      </c>
      <c r="H30" s="64">
        <f>'Grants Allocation'!H15</f>
        <v>9</v>
      </c>
      <c r="I30" s="63">
        <f>'Grants Allocation'!C15</f>
        <v>9</v>
      </c>
      <c r="J30" s="64">
        <f>'Grants Allocation'!D15</f>
        <v>6</v>
      </c>
      <c r="K30" s="64">
        <f>'Grants Allocation'!E15</f>
        <v>12</v>
      </c>
      <c r="L30" s="64">
        <f>'Grants Allocation'!F15</f>
        <v>7</v>
      </c>
      <c r="M30" s="64">
        <f>'Grants Allocation'!G15</f>
        <v>8</v>
      </c>
      <c r="N30" s="65">
        <f>'Grants Allocation'!H15</f>
        <v>9</v>
      </c>
    </row>
    <row r="31" spans="2:14" ht="15" customHeight="1">
      <c r="B31" s="36" t="s">
        <v>111</v>
      </c>
      <c r="C31" s="63"/>
      <c r="D31" s="64"/>
      <c r="E31" s="64"/>
      <c r="F31" s="64"/>
      <c r="G31" s="64"/>
      <c r="H31" s="65"/>
      <c r="I31" s="63"/>
      <c r="J31" s="64"/>
      <c r="K31" s="64"/>
      <c r="L31" s="64"/>
      <c r="M31" s="64"/>
      <c r="N31" s="65"/>
    </row>
    <row r="32" spans="2:14" ht="15" customHeight="1">
      <c r="B32" s="36" t="s">
        <v>112</v>
      </c>
      <c r="C32" s="63">
        <v>1</v>
      </c>
      <c r="D32" s="64">
        <v>1</v>
      </c>
      <c r="E32" s="64">
        <v>1</v>
      </c>
      <c r="F32" s="64">
        <v>1</v>
      </c>
      <c r="G32" s="64">
        <v>1</v>
      </c>
      <c r="H32" s="65">
        <v>1</v>
      </c>
      <c r="I32" s="63">
        <v>1</v>
      </c>
      <c r="J32" s="64">
        <v>1</v>
      </c>
      <c r="K32" s="64">
        <v>1</v>
      </c>
      <c r="L32" s="64">
        <v>1</v>
      </c>
      <c r="M32" s="64">
        <v>1</v>
      </c>
      <c r="N32" s="65">
        <v>1</v>
      </c>
    </row>
    <row r="33" spans="2:14" ht="15" customHeight="1">
      <c r="B33" s="36" t="s">
        <v>113</v>
      </c>
      <c r="C33" s="63"/>
      <c r="D33" s="64"/>
      <c r="E33" s="64"/>
      <c r="F33" s="64"/>
      <c r="G33" s="64"/>
      <c r="H33" s="65"/>
      <c r="I33" s="63"/>
      <c r="J33" s="64"/>
      <c r="K33" s="64"/>
      <c r="L33" s="64"/>
      <c r="M33" s="64"/>
      <c r="N33" s="65"/>
    </row>
    <row r="34" spans="2:14" ht="15" customHeight="1">
      <c r="B34" s="36" t="s">
        <v>114</v>
      </c>
      <c r="C34" s="63">
        <f>'Grants Allocation'!C20*$A$22+'Grants Allocation'!C15+2</f>
        <v>32.887780669305286</v>
      </c>
      <c r="D34" s="64">
        <f>'Grants Allocation'!D20*$A$22+'Grants Allocation'!D15+2</f>
        <v>24.20111312385141</v>
      </c>
      <c r="E34" s="64">
        <f>'Grants Allocation'!E20*$A$22+'Grants Allocation'!E15+2</f>
        <v>40.5584487322036</v>
      </c>
      <c r="F34" s="64">
        <f>'Grants Allocation'!F20*$A$22+'Grants Allocation'!F15+2</f>
        <v>26.20962665381817</v>
      </c>
      <c r="G34" s="64">
        <f>'Grants Allocation'!G20*$A$22+'Grants Allocation'!G15+2</f>
        <v>24.996950866031582</v>
      </c>
      <c r="H34" s="64">
        <f>'Grants Allocation'!H20*$A$22+'Grants Allocation'!H15+2</f>
        <v>34.146079954789954</v>
      </c>
      <c r="I34" s="63">
        <f>'Grants Allocation'!C20*$A$22+'Grants Allocation'!C15+2</f>
        <v>32.887780669305286</v>
      </c>
      <c r="J34" s="64">
        <f>'Grants Allocation'!D20*$A$22+'Grants Allocation'!D15+2</f>
        <v>24.20111312385141</v>
      </c>
      <c r="K34" s="64">
        <f>'Grants Allocation'!E20*$A$22+'Grants Allocation'!E15+2</f>
        <v>40.5584487322036</v>
      </c>
      <c r="L34" s="64">
        <f>'Grants Allocation'!F20*$A$22+'Grants Allocation'!F15+2</f>
        <v>26.20962665381817</v>
      </c>
      <c r="M34" s="64">
        <f>'Grants Allocation'!G20*$A$22+'Grants Allocation'!G15+2</f>
        <v>24.996950866031582</v>
      </c>
      <c r="N34" s="65">
        <f>'Grants Allocation'!H20*$A$22+'Grants Allocation'!H15+2</f>
        <v>34.146079954789954</v>
      </c>
    </row>
    <row r="35" spans="2:14" ht="15" customHeight="1">
      <c r="B35" s="36" t="s">
        <v>115</v>
      </c>
      <c r="C35" s="63"/>
      <c r="D35" s="64"/>
      <c r="E35" s="64"/>
      <c r="F35" s="64"/>
      <c r="G35" s="64"/>
      <c r="H35" s="65"/>
      <c r="I35" s="63"/>
      <c r="J35" s="64"/>
      <c r="K35" s="64"/>
      <c r="L35" s="64"/>
      <c r="M35" s="64"/>
      <c r="N35" s="65"/>
    </row>
    <row r="36" spans="2:14" ht="15" customHeight="1">
      <c r="B36" s="36" t="s">
        <v>116</v>
      </c>
      <c r="C36" s="63">
        <v>2</v>
      </c>
      <c r="D36" s="64">
        <v>2</v>
      </c>
      <c r="E36" s="64">
        <v>2</v>
      </c>
      <c r="F36" s="64">
        <v>2</v>
      </c>
      <c r="G36" s="64">
        <v>2</v>
      </c>
      <c r="H36" s="65">
        <v>2</v>
      </c>
      <c r="I36" s="63">
        <v>2</v>
      </c>
      <c r="J36" s="64">
        <v>2</v>
      </c>
      <c r="K36" s="64">
        <v>2</v>
      </c>
      <c r="L36" s="64">
        <v>2</v>
      </c>
      <c r="M36" s="64">
        <v>2</v>
      </c>
      <c r="N36" s="65">
        <v>2</v>
      </c>
    </row>
    <row r="37" spans="2:14" ht="15" customHeight="1">
      <c r="B37" s="36" t="s">
        <v>117</v>
      </c>
      <c r="C37" s="63"/>
      <c r="D37" s="64"/>
      <c r="E37" s="64"/>
      <c r="F37" s="64"/>
      <c r="G37" s="64"/>
      <c r="H37" s="65"/>
      <c r="I37" s="63"/>
      <c r="J37" s="64"/>
      <c r="K37" s="64"/>
      <c r="L37" s="64"/>
      <c r="M37" s="64"/>
      <c r="N37" s="65"/>
    </row>
    <row r="38" spans="2:14" ht="15" customHeight="1">
      <c r="B38" s="36" t="s">
        <v>118</v>
      </c>
      <c r="C38" s="63"/>
      <c r="D38" s="64"/>
      <c r="E38" s="64"/>
      <c r="F38" s="64"/>
      <c r="G38" s="64"/>
      <c r="H38" s="65"/>
      <c r="I38" s="63"/>
      <c r="J38" s="64"/>
      <c r="K38" s="64"/>
      <c r="L38" s="64"/>
      <c r="M38" s="64"/>
      <c r="N38" s="65"/>
    </row>
  </sheetData>
  <mergeCells count="2">
    <mergeCell ref="C1:H1"/>
    <mergeCell ref="I1:N1"/>
  </mergeCells>
  <printOptions/>
  <pageMargins left="1" right="1" top="1" bottom="1" header="0.5" footer="0.5"/>
  <pageSetup horizontalDpi="300" verticalDpi="300" orientation="portrait" r:id="rId1"/>
  <headerFooter alignWithMargins="0">
    <oddHeader>&amp;C&amp;"Times New Roman,Bold"&amp;12&amp;U&amp;A&amp;R&amp;"Times New Roman,Regular"&amp;12Appendix E</oddHeader>
    <oddFooter>&amp;C&amp;"Times New Roman,Regular"&amp;12E-&amp;P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6">
      <selection activeCell="B24" sqref="B24"/>
    </sheetView>
  </sheetViews>
  <sheetFormatPr defaultColWidth="9.140625" defaultRowHeight="27.75" customHeight="1"/>
  <cols>
    <col min="1" max="1" width="7.00390625" style="67" bestFit="1" customWidth="1"/>
    <col min="2" max="10" width="9.00390625" style="32" bestFit="1" customWidth="1"/>
    <col min="11" max="11" width="10.00390625" style="32" bestFit="1" customWidth="1"/>
    <col min="12" max="16384" width="9.140625" style="32" customWidth="1"/>
  </cols>
  <sheetData>
    <row r="1" spans="1:11" s="35" customFormat="1" ht="27.75" customHeight="1">
      <c r="A1" s="67"/>
      <c r="B1" s="68">
        <v>1</v>
      </c>
      <c r="C1" s="68">
        <v>2</v>
      </c>
      <c r="D1" s="68">
        <v>3</v>
      </c>
      <c r="E1" s="68">
        <v>4</v>
      </c>
      <c r="F1" s="68">
        <v>5</v>
      </c>
      <c r="G1" s="68">
        <v>6</v>
      </c>
      <c r="H1" s="68">
        <v>7</v>
      </c>
      <c r="I1" s="68">
        <v>8</v>
      </c>
      <c r="J1" s="68">
        <v>9</v>
      </c>
      <c r="K1" s="68">
        <v>10</v>
      </c>
    </row>
    <row r="2" spans="1:11" s="55" customFormat="1" ht="27.75" customHeight="1">
      <c r="A2" s="74" t="s">
        <v>2</v>
      </c>
      <c r="B2" s="56">
        <v>13870</v>
      </c>
      <c r="C2" s="56">
        <v>14332</v>
      </c>
      <c r="D2" s="56">
        <v>14794</v>
      </c>
      <c r="E2" s="56">
        <v>15252</v>
      </c>
      <c r="F2" s="56">
        <v>15715</v>
      </c>
      <c r="G2" s="56">
        <v>15986</v>
      </c>
      <c r="H2" s="56">
        <v>16440</v>
      </c>
      <c r="I2" s="56">
        <v>16900</v>
      </c>
      <c r="J2" s="56">
        <v>16918</v>
      </c>
      <c r="K2" s="56">
        <v>17351</v>
      </c>
    </row>
    <row r="3" spans="1:11" ht="27.75" customHeight="1">
      <c r="A3" s="67" t="s">
        <v>3</v>
      </c>
      <c r="B3" s="33">
        <v>15594</v>
      </c>
      <c r="C3" s="33">
        <v>15964</v>
      </c>
      <c r="D3" s="33">
        <v>16481</v>
      </c>
      <c r="E3" s="33">
        <v>16918</v>
      </c>
      <c r="F3" s="33">
        <v>17107</v>
      </c>
      <c r="G3" s="33">
        <v>17610</v>
      </c>
      <c r="H3" s="33">
        <v>18113</v>
      </c>
      <c r="I3" s="33">
        <v>18616</v>
      </c>
      <c r="J3" s="33">
        <v>19119</v>
      </c>
      <c r="K3" s="33">
        <v>19622</v>
      </c>
    </row>
    <row r="4" spans="1:11" ht="27.75" customHeight="1">
      <c r="A4" s="67" t="s">
        <v>4</v>
      </c>
      <c r="B4" s="33">
        <v>17015</v>
      </c>
      <c r="C4" s="33">
        <v>17582</v>
      </c>
      <c r="D4" s="33">
        <v>18149</v>
      </c>
      <c r="E4" s="33">
        <v>18716</v>
      </c>
      <c r="F4" s="33">
        <v>19283</v>
      </c>
      <c r="G4" s="33">
        <v>19850</v>
      </c>
      <c r="H4" s="33">
        <v>20417</v>
      </c>
      <c r="I4" s="33">
        <v>20984</v>
      </c>
      <c r="J4" s="33">
        <v>21551</v>
      </c>
      <c r="K4" s="33">
        <v>22118</v>
      </c>
    </row>
    <row r="5" spans="1:11" ht="27.75" customHeight="1">
      <c r="A5" s="67" t="s">
        <v>5</v>
      </c>
      <c r="B5" s="33">
        <v>19100</v>
      </c>
      <c r="C5" s="33">
        <v>19737</v>
      </c>
      <c r="D5" s="33">
        <v>20374</v>
      </c>
      <c r="E5" s="33">
        <v>21011</v>
      </c>
      <c r="F5" s="33">
        <v>21648</v>
      </c>
      <c r="G5" s="33">
        <v>22285</v>
      </c>
      <c r="H5" s="33">
        <v>22922</v>
      </c>
      <c r="I5" s="33">
        <v>23559</v>
      </c>
      <c r="J5" s="33">
        <v>24196</v>
      </c>
      <c r="K5" s="33">
        <v>24833</v>
      </c>
    </row>
    <row r="6" spans="1:11" ht="27.75" customHeight="1">
      <c r="A6" s="67" t="s">
        <v>6</v>
      </c>
      <c r="B6" s="33">
        <v>21370</v>
      </c>
      <c r="C6" s="33">
        <v>22082</v>
      </c>
      <c r="D6" s="33">
        <v>22794</v>
      </c>
      <c r="E6" s="33">
        <v>23506</v>
      </c>
      <c r="F6" s="33">
        <v>24218</v>
      </c>
      <c r="G6" s="33">
        <v>14930</v>
      </c>
      <c r="H6" s="33">
        <v>25642</v>
      </c>
      <c r="I6" s="33">
        <v>26354</v>
      </c>
      <c r="J6" s="33">
        <v>27066</v>
      </c>
      <c r="K6" s="33">
        <v>27778</v>
      </c>
    </row>
    <row r="7" spans="1:11" ht="27.75" customHeight="1">
      <c r="A7" s="67" t="s">
        <v>7</v>
      </c>
      <c r="B7" s="33">
        <v>23820</v>
      </c>
      <c r="C7" s="33">
        <v>24614</v>
      </c>
      <c r="D7" s="33">
        <v>25408</v>
      </c>
      <c r="E7" s="33">
        <v>26202</v>
      </c>
      <c r="F7" s="33">
        <v>26996</v>
      </c>
      <c r="G7" s="33">
        <v>27790</v>
      </c>
      <c r="H7" s="33">
        <v>28584</v>
      </c>
      <c r="I7" s="33">
        <v>29378</v>
      </c>
      <c r="J7" s="33">
        <v>30172</v>
      </c>
      <c r="K7" s="33">
        <v>30966</v>
      </c>
    </row>
    <row r="8" spans="1:11" ht="27.75" customHeight="1">
      <c r="A8" s="67" t="s">
        <v>8</v>
      </c>
      <c r="B8" s="33">
        <v>26470</v>
      </c>
      <c r="C8" s="33">
        <v>27352</v>
      </c>
      <c r="D8" s="33">
        <v>28234</v>
      </c>
      <c r="E8" s="33">
        <v>29116</v>
      </c>
      <c r="F8" s="33">
        <v>29998</v>
      </c>
      <c r="G8" s="33">
        <v>30880</v>
      </c>
      <c r="H8" s="33">
        <v>31762</v>
      </c>
      <c r="I8" s="33">
        <v>32644</v>
      </c>
      <c r="J8" s="33">
        <v>33526</v>
      </c>
      <c r="K8" s="33">
        <v>34408</v>
      </c>
    </row>
    <row r="9" spans="1:11" ht="27.75" customHeight="1">
      <c r="A9" s="67" t="s">
        <v>9</v>
      </c>
      <c r="B9" s="33">
        <v>29315</v>
      </c>
      <c r="C9" s="33">
        <v>30292</v>
      </c>
      <c r="D9" s="33">
        <v>31269</v>
      </c>
      <c r="E9" s="33">
        <v>32246</v>
      </c>
      <c r="F9" s="33">
        <v>33223</v>
      </c>
      <c r="G9" s="33">
        <v>34200</v>
      </c>
      <c r="H9" s="33">
        <v>35177</v>
      </c>
      <c r="I9" s="33">
        <v>36154</v>
      </c>
      <c r="J9" s="33">
        <v>37131</v>
      </c>
      <c r="K9" s="33">
        <v>38108</v>
      </c>
    </row>
    <row r="10" spans="1:11" ht="27.75" customHeight="1">
      <c r="A10" s="67" t="s">
        <v>10</v>
      </c>
      <c r="B10" s="33">
        <v>32380</v>
      </c>
      <c r="C10" s="33">
        <v>33459</v>
      </c>
      <c r="D10" s="33">
        <v>34538</v>
      </c>
      <c r="E10" s="33">
        <v>35617</v>
      </c>
      <c r="F10" s="33">
        <v>36696</v>
      </c>
      <c r="G10" s="33">
        <v>37775</v>
      </c>
      <c r="H10" s="33">
        <v>38854</v>
      </c>
      <c r="I10" s="33">
        <v>39933</v>
      </c>
      <c r="J10" s="33">
        <v>41012</v>
      </c>
      <c r="K10" s="33">
        <v>42091</v>
      </c>
    </row>
    <row r="11" spans="1:11" ht="27.75" customHeight="1">
      <c r="A11" s="67" t="s">
        <v>11</v>
      </c>
      <c r="B11" s="33">
        <v>35658</v>
      </c>
      <c r="C11" s="33">
        <v>36847</v>
      </c>
      <c r="D11" s="33">
        <v>38036</v>
      </c>
      <c r="E11" s="33">
        <v>39225</v>
      </c>
      <c r="F11" s="33">
        <v>40414</v>
      </c>
      <c r="G11" s="33">
        <v>41603</v>
      </c>
      <c r="H11" s="33">
        <v>42792</v>
      </c>
      <c r="I11" s="33">
        <v>43981</v>
      </c>
      <c r="J11" s="33">
        <v>45170</v>
      </c>
      <c r="K11" s="33">
        <v>46359</v>
      </c>
    </row>
    <row r="12" spans="1:11" ht="27.75" customHeight="1">
      <c r="A12" s="67" t="s">
        <v>12</v>
      </c>
      <c r="B12" s="33">
        <v>39178</v>
      </c>
      <c r="C12" s="33">
        <v>40484</v>
      </c>
      <c r="D12" s="33">
        <v>41790</v>
      </c>
      <c r="E12" s="33">
        <v>43096</v>
      </c>
      <c r="F12" s="33">
        <v>44402</v>
      </c>
      <c r="G12" s="33">
        <v>45708</v>
      </c>
      <c r="H12" s="33">
        <v>47014</v>
      </c>
      <c r="I12" s="33">
        <v>48320</v>
      </c>
      <c r="J12" s="33">
        <v>49626</v>
      </c>
      <c r="K12" s="33">
        <v>50932</v>
      </c>
    </row>
    <row r="13" spans="1:11" ht="27.75" customHeight="1">
      <c r="A13" s="67" t="s">
        <v>13</v>
      </c>
      <c r="B13" s="33">
        <v>46955</v>
      </c>
      <c r="C13" s="33">
        <v>48520</v>
      </c>
      <c r="D13" s="33">
        <v>50085</v>
      </c>
      <c r="E13" s="33">
        <v>51650</v>
      </c>
      <c r="F13" s="33">
        <v>53215</v>
      </c>
      <c r="G13" s="33">
        <v>54780</v>
      </c>
      <c r="H13" s="33">
        <v>56345</v>
      </c>
      <c r="I13" s="33">
        <v>57910</v>
      </c>
      <c r="J13" s="33">
        <v>59475</v>
      </c>
      <c r="K13" s="33">
        <v>61040</v>
      </c>
    </row>
    <row r="14" spans="1:11" ht="27.75" customHeight="1">
      <c r="A14" s="67" t="s">
        <v>14</v>
      </c>
      <c r="B14" s="33">
        <v>55837</v>
      </c>
      <c r="C14" s="33">
        <v>57698</v>
      </c>
      <c r="D14" s="33">
        <v>59559</v>
      </c>
      <c r="E14" s="33">
        <v>61420</v>
      </c>
      <c r="F14" s="33">
        <v>63281</v>
      </c>
      <c r="G14" s="33">
        <v>65142</v>
      </c>
      <c r="H14" s="33">
        <v>67003</v>
      </c>
      <c r="I14" s="33">
        <v>68864</v>
      </c>
      <c r="J14" s="33">
        <v>70725</v>
      </c>
      <c r="K14" s="33">
        <v>72586</v>
      </c>
    </row>
    <row r="15" spans="1:11" ht="27.75" customHeight="1">
      <c r="A15" s="67" t="s">
        <v>15</v>
      </c>
      <c r="B15" s="33">
        <v>65983</v>
      </c>
      <c r="C15" s="33">
        <v>68182</v>
      </c>
      <c r="D15" s="33">
        <v>70381</v>
      </c>
      <c r="E15" s="33">
        <v>72580</v>
      </c>
      <c r="F15" s="33">
        <v>74779</v>
      </c>
      <c r="G15" s="33">
        <v>76878</v>
      </c>
      <c r="H15" s="33">
        <v>79177</v>
      </c>
      <c r="I15" s="33">
        <v>81376</v>
      </c>
      <c r="J15" s="33">
        <v>83575</v>
      </c>
      <c r="K15" s="33">
        <v>85774</v>
      </c>
    </row>
    <row r="16" spans="1:11" ht="27.75" customHeight="1">
      <c r="A16" s="67" t="s">
        <v>16</v>
      </c>
      <c r="B16" s="33">
        <v>77614</v>
      </c>
      <c r="C16" s="33">
        <v>80201</v>
      </c>
      <c r="D16" s="33">
        <v>82788</v>
      </c>
      <c r="E16" s="33">
        <v>85375</v>
      </c>
      <c r="F16" s="33">
        <v>87962</v>
      </c>
      <c r="G16" s="33">
        <v>90549</v>
      </c>
      <c r="H16" s="33">
        <v>93136</v>
      </c>
      <c r="I16" s="33">
        <v>95723</v>
      </c>
      <c r="J16" s="33">
        <v>98310</v>
      </c>
      <c r="K16" s="33">
        <v>100897</v>
      </c>
    </row>
  </sheetData>
  <printOptions horizontalCentered="1"/>
  <pageMargins left="1" right="1" top="1" bottom="1" header="0.5" footer="0.5"/>
  <pageSetup horizontalDpi="300" verticalDpi="300" orientation="landscape" r:id="rId1"/>
  <headerFooter alignWithMargins="0">
    <oddHeader>&amp;C&amp;"Times New Roman,Bold"&amp;12&amp;U&amp;A&amp;R&amp;"Times New Roman,Regular"&amp;12Appendix F</oddHeader>
    <oddFooter>&amp;C&amp;"Times New Roman,Regular"&amp;12F-&amp;P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pane xSplit="2" ySplit="2" topLeftCell="C3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24" customHeight="1"/>
  <cols>
    <col min="1" max="1" width="19.28125" style="35" bestFit="1" customWidth="1"/>
    <col min="2" max="2" width="4.00390625" style="32" bestFit="1" customWidth="1"/>
    <col min="3" max="8" width="13.140625" style="32" bestFit="1" customWidth="1"/>
    <col min="9" max="16384" width="9.140625" style="32" customWidth="1"/>
  </cols>
  <sheetData>
    <row r="1" spans="1:8" s="35" customFormat="1" ht="24" customHeight="1">
      <c r="A1" s="89" t="s">
        <v>135</v>
      </c>
      <c r="B1" s="89"/>
      <c r="C1" s="83" t="s">
        <v>0</v>
      </c>
      <c r="D1" s="83"/>
      <c r="E1" s="83"/>
      <c r="F1" s="83"/>
      <c r="G1" s="83"/>
      <c r="H1" s="83"/>
    </row>
    <row r="2" spans="1:8" s="55" customFormat="1" ht="24" customHeight="1">
      <c r="A2" s="90">
        <v>30000000</v>
      </c>
      <c r="B2" s="90"/>
      <c r="C2" s="34" t="s">
        <v>67</v>
      </c>
      <c r="D2" s="34" t="s">
        <v>68</v>
      </c>
      <c r="E2" s="34" t="s">
        <v>71</v>
      </c>
      <c r="F2" s="34" t="s">
        <v>66</v>
      </c>
      <c r="G2" s="34" t="s">
        <v>70</v>
      </c>
      <c r="H2" s="34" t="s">
        <v>69</v>
      </c>
    </row>
    <row r="3" spans="1:8" ht="24" customHeight="1">
      <c r="A3" s="42"/>
      <c r="B3" s="36"/>
      <c r="C3" s="36"/>
      <c r="D3" s="36"/>
      <c r="E3" s="36"/>
      <c r="F3" s="36"/>
      <c r="G3" s="36"/>
      <c r="H3" s="36"/>
    </row>
    <row r="4" spans="1:2" ht="24" customHeight="1">
      <c r="A4" s="35" t="s">
        <v>92</v>
      </c>
      <c r="B4" s="37">
        <v>0.75</v>
      </c>
    </row>
    <row r="5" spans="1:8" ht="24" customHeight="1">
      <c r="A5" s="87" t="s">
        <v>132</v>
      </c>
      <c r="B5" s="87"/>
      <c r="C5" s="38">
        <f>Demographics!C54</f>
        <v>47782</v>
      </c>
      <c r="D5" s="38">
        <f>Demographics!D54</f>
        <v>35584</v>
      </c>
      <c r="E5" s="38">
        <f>Demographics!E54</f>
        <v>62888</v>
      </c>
      <c r="F5" s="38">
        <f>Demographics!F54</f>
        <v>40405</v>
      </c>
      <c r="G5" s="38">
        <f>Demographics!G54</f>
        <v>31917</v>
      </c>
      <c r="H5" s="38">
        <f>Demographics!H54</f>
        <v>51720</v>
      </c>
    </row>
    <row r="6" spans="1:8" ht="24" customHeight="1">
      <c r="A6" s="87" t="s">
        <v>154</v>
      </c>
      <c r="B6" s="87"/>
      <c r="C6" s="39">
        <f>Demographics!C55</f>
        <v>0.17677657087045312</v>
      </c>
      <c r="D6" s="39">
        <f>Demographics!D55</f>
        <v>0.1316482670849735</v>
      </c>
      <c r="E6" s="39">
        <f>Demographics!E55</f>
        <v>0.23266345043951817</v>
      </c>
      <c r="F6" s="39">
        <f>Demographics!F55</f>
        <v>0.14948426909758192</v>
      </c>
      <c r="G6" s="39">
        <f>Demographics!G55</f>
        <v>0.11808165862609879</v>
      </c>
      <c r="H6" s="39">
        <f>Demographics!H55</f>
        <v>0.1913457838813745</v>
      </c>
    </row>
    <row r="7" spans="1:8" ht="24" customHeight="1">
      <c r="A7" s="87" t="s">
        <v>156</v>
      </c>
      <c r="B7" s="87"/>
      <c r="C7" s="40">
        <f aca="true" t="shared" si="0" ref="C7:H7">C6*$B4*$A$2</f>
        <v>3977472.8445851947</v>
      </c>
      <c r="D7" s="40">
        <f t="shared" si="0"/>
        <v>2962086.009411904</v>
      </c>
      <c r="E7" s="40">
        <f t="shared" si="0"/>
        <v>5234927.634889158</v>
      </c>
      <c r="F7" s="40">
        <f t="shared" si="0"/>
        <v>3363396.0546955927</v>
      </c>
      <c r="G7" s="40">
        <f t="shared" si="0"/>
        <v>2656837.319087223</v>
      </c>
      <c r="H7" s="40">
        <f t="shared" si="0"/>
        <v>4305280.137330926</v>
      </c>
    </row>
    <row r="9" spans="1:2" ht="24" customHeight="1">
      <c r="A9" s="35" t="s">
        <v>93</v>
      </c>
      <c r="B9" s="37">
        <v>0.25</v>
      </c>
    </row>
    <row r="10" spans="1:8" ht="24" customHeight="1">
      <c r="A10" s="87" t="s">
        <v>157</v>
      </c>
      <c r="B10" s="87"/>
      <c r="C10" s="38">
        <f>Demographics!C108</f>
        <v>61.94444444444444</v>
      </c>
      <c r="D10" s="38">
        <f>Demographics!D108</f>
        <v>40.56666666666667</v>
      </c>
      <c r="E10" s="38">
        <f>Demographics!E108</f>
        <v>98.84166666666665</v>
      </c>
      <c r="F10" s="38">
        <f>Demographics!F108</f>
        <v>118.42857142857143</v>
      </c>
      <c r="G10" s="38">
        <f>Demographics!G108</f>
        <v>1257.25</v>
      </c>
      <c r="H10" s="38">
        <f>Demographics!H108</f>
        <v>487.6333333333333</v>
      </c>
    </row>
    <row r="11" spans="1:8" ht="24" customHeight="1">
      <c r="A11" s="87" t="s">
        <v>158</v>
      </c>
      <c r="B11" s="87"/>
      <c r="C11" s="39">
        <f>Demographics!C109</f>
        <v>0.03000218145265527</v>
      </c>
      <c r="D11" s="39">
        <f>Demographics!D109</f>
        <v>0.01964806537823218</v>
      </c>
      <c r="E11" s="39">
        <f>Demographics!E109</f>
        <v>0.04787298756187589</v>
      </c>
      <c r="F11" s="39">
        <f>Demographics!F109</f>
        <v>0.05735971193293043</v>
      </c>
      <c r="G11" s="39">
        <f>Demographics!G109</f>
        <v>0.6089366523446772</v>
      </c>
      <c r="H11" s="39">
        <f>Demographics!H109</f>
        <v>0.23618040132962903</v>
      </c>
    </row>
    <row r="12" spans="1:8" ht="24" customHeight="1">
      <c r="A12" s="87" t="s">
        <v>156</v>
      </c>
      <c r="B12" s="87"/>
      <c r="C12" s="40">
        <f aca="true" t="shared" si="1" ref="C12:H12">C11*$B9*$A$2</f>
        <v>225016.3608949145</v>
      </c>
      <c r="D12" s="40">
        <f t="shared" si="1"/>
        <v>147360.49033674135</v>
      </c>
      <c r="E12" s="40">
        <f t="shared" si="1"/>
        <v>359047.4067140692</v>
      </c>
      <c r="F12" s="40">
        <f t="shared" si="1"/>
        <v>430197.8394969782</v>
      </c>
      <c r="G12" s="40">
        <f t="shared" si="1"/>
        <v>4567024.892585079</v>
      </c>
      <c r="H12" s="40">
        <f t="shared" si="1"/>
        <v>1771353.0099722177</v>
      </c>
    </row>
    <row r="14" spans="1:8" ht="24" customHeight="1">
      <c r="A14" s="88" t="s">
        <v>134</v>
      </c>
      <c r="B14" s="88"/>
      <c r="C14" s="40">
        <f aca="true" t="shared" si="2" ref="C14:H14">C12+C7</f>
        <v>4202489.205480109</v>
      </c>
      <c r="D14" s="40">
        <f t="shared" si="2"/>
        <v>3109446.4997486454</v>
      </c>
      <c r="E14" s="40">
        <f t="shared" si="2"/>
        <v>5593975.041603228</v>
      </c>
      <c r="F14" s="40">
        <f t="shared" si="2"/>
        <v>3793593.894192571</v>
      </c>
      <c r="G14" s="40">
        <f t="shared" si="2"/>
        <v>7223862.211672302</v>
      </c>
      <c r="H14" s="40">
        <f t="shared" si="2"/>
        <v>6076633.1473031435</v>
      </c>
    </row>
    <row r="15" spans="1:8" ht="24" customHeight="1">
      <c r="A15" s="87" t="s">
        <v>154</v>
      </c>
      <c r="B15" s="87"/>
      <c r="C15" s="39">
        <f aca="true" t="shared" si="3" ref="C15:H15">C14/SUM($C14:$H14)</f>
        <v>0.14008297351600363</v>
      </c>
      <c r="D15" s="39">
        <f t="shared" si="3"/>
        <v>0.10364821665828818</v>
      </c>
      <c r="E15" s="39">
        <f t="shared" si="3"/>
        <v>0.1864658347201076</v>
      </c>
      <c r="F15" s="39">
        <f t="shared" si="3"/>
        <v>0.12645312980641904</v>
      </c>
      <c r="G15" s="39">
        <f t="shared" si="3"/>
        <v>0.2407954070557434</v>
      </c>
      <c r="H15" s="39">
        <f t="shared" si="3"/>
        <v>0.2025544382434381</v>
      </c>
    </row>
  </sheetData>
  <mergeCells count="11">
    <mergeCell ref="A6:B6"/>
    <mergeCell ref="C1:H1"/>
    <mergeCell ref="A1:B1"/>
    <mergeCell ref="A2:B2"/>
    <mergeCell ref="A5:B5"/>
    <mergeCell ref="A7:B7"/>
    <mergeCell ref="A10:B10"/>
    <mergeCell ref="A11:B11"/>
    <mergeCell ref="A15:B15"/>
    <mergeCell ref="A12:B12"/>
    <mergeCell ref="A14:B1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&amp;C&amp;"Times New Roman,Bold"&amp;12&amp;U&amp;A&amp;R&amp;"Times New Roman,Regular"&amp;12Appendix G</oddHeader>
    <oddFooter>&amp;C&amp;"Times New Roman,Regular"&amp;12G-&amp;P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pane xSplit="2" ySplit="2" topLeftCell="C3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4" sqref="A4"/>
    </sheetView>
  </sheetViews>
  <sheetFormatPr defaultColWidth="9.140625" defaultRowHeight="19.5" customHeight="1"/>
  <cols>
    <col min="1" max="1" width="20.28125" style="35" customWidth="1"/>
    <col min="2" max="2" width="4.00390625" style="32" bestFit="1" customWidth="1"/>
    <col min="3" max="14" width="14.28125" style="32" customWidth="1"/>
    <col min="15" max="16384" width="9.140625" style="32" customWidth="1"/>
  </cols>
  <sheetData>
    <row r="1" spans="1:14" s="35" customFormat="1" ht="19.5" customHeight="1">
      <c r="A1" s="91">
        <f>'Comprehensive Breakdown'!D43-'Comprehensive Breakdown'!D37-'Comprehensive Breakdown'!D17</f>
        <v>158115000</v>
      </c>
      <c r="B1" s="89"/>
      <c r="C1" s="83" t="s">
        <v>0</v>
      </c>
      <c r="D1" s="83"/>
      <c r="E1" s="83"/>
      <c r="F1" s="83"/>
      <c r="G1" s="83"/>
      <c r="H1" s="83"/>
      <c r="I1" s="83" t="s">
        <v>1</v>
      </c>
      <c r="J1" s="83"/>
      <c r="K1" s="83"/>
      <c r="L1" s="83"/>
      <c r="M1" s="83"/>
      <c r="N1" s="83"/>
    </row>
    <row r="2" spans="1:14" s="55" customFormat="1" ht="19.5" customHeight="1">
      <c r="A2" s="90"/>
      <c r="B2" s="90"/>
      <c r="C2" s="34" t="s">
        <v>67</v>
      </c>
      <c r="D2" s="34" t="s">
        <v>68</v>
      </c>
      <c r="E2" s="34" t="s">
        <v>71</v>
      </c>
      <c r="F2" s="34" t="s">
        <v>66</v>
      </c>
      <c r="G2" s="34" t="s">
        <v>70</v>
      </c>
      <c r="H2" s="34" t="s">
        <v>69</v>
      </c>
      <c r="I2" s="34" t="s">
        <v>67</v>
      </c>
      <c r="J2" s="34" t="s">
        <v>68</v>
      </c>
      <c r="K2" s="34" t="s">
        <v>71</v>
      </c>
      <c r="L2" s="34" t="s">
        <v>66</v>
      </c>
      <c r="M2" s="34" t="s">
        <v>70</v>
      </c>
      <c r="N2" s="34" t="s">
        <v>69</v>
      </c>
    </row>
    <row r="3" spans="1:14" ht="19.5" customHeight="1">
      <c r="A3" s="75">
        <f>155000000-40000000</f>
        <v>115000000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" ht="19.5" customHeight="1">
      <c r="A4" s="35" t="s">
        <v>143</v>
      </c>
      <c r="B4" s="37">
        <v>0.45</v>
      </c>
    </row>
    <row r="5" spans="1:14" ht="19.5" customHeight="1">
      <c r="A5" s="87" t="s">
        <v>132</v>
      </c>
      <c r="B5" s="87"/>
      <c r="C5" s="38">
        <f>Demographics!C162+Demographics!C216+Demographics!C270</f>
        <v>41263</v>
      </c>
      <c r="D5" s="38">
        <f>Demographics!D162+Demographics!D216+Demographics!D270</f>
        <v>31215</v>
      </c>
      <c r="E5" s="38">
        <f>Demographics!E162+Demographics!E216+Demographics!E270</f>
        <v>60074</v>
      </c>
      <c r="F5" s="38">
        <f>Demographics!F162+Demographics!F216+Demographics!F270</f>
        <v>36224</v>
      </c>
      <c r="G5" s="38">
        <f>Demographics!G162+Demographics!G216+Demographics!G270</f>
        <v>29377</v>
      </c>
      <c r="H5" s="38">
        <f>Demographics!H162+Demographics!H216+Demographics!H270</f>
        <v>50957</v>
      </c>
      <c r="I5" s="38">
        <f>Demographics!C162+Demographics!C216+Demographics!C270</f>
        <v>41263</v>
      </c>
      <c r="J5" s="38">
        <f>Demographics!D162+Demographics!D216+Demographics!D270</f>
        <v>31215</v>
      </c>
      <c r="K5" s="38">
        <f>Demographics!E162+Demographics!E216+Demographics!E270</f>
        <v>60074</v>
      </c>
      <c r="L5" s="38">
        <f>Demographics!F162+Demographics!F216+Demographics!F270</f>
        <v>36224</v>
      </c>
      <c r="M5" s="38">
        <f>Demographics!G162+Demographics!G216+Demographics!G270</f>
        <v>29377</v>
      </c>
      <c r="N5" s="38">
        <f>Demographics!H162+Demographics!H216+Demographics!H270</f>
        <v>50957</v>
      </c>
    </row>
    <row r="6" spans="1:14" ht="19.5" customHeight="1">
      <c r="A6" s="87" t="s">
        <v>163</v>
      </c>
      <c r="B6" s="87"/>
      <c r="C6" s="39">
        <f aca="true" t="shared" si="0" ref="C6:H6">C5/SUM($C5:$H5)</f>
        <v>0.16564168439645136</v>
      </c>
      <c r="D6" s="39">
        <f t="shared" si="0"/>
        <v>0.12530608967925816</v>
      </c>
      <c r="E6" s="39">
        <f t="shared" si="0"/>
        <v>0.24115451005579863</v>
      </c>
      <c r="F6" s="39">
        <f t="shared" si="0"/>
        <v>0.14541367267472202</v>
      </c>
      <c r="G6" s="39">
        <f t="shared" si="0"/>
        <v>0.11792782305005821</v>
      </c>
      <c r="H6" s="39">
        <f t="shared" si="0"/>
        <v>0.2045562201437116</v>
      </c>
      <c r="I6" s="39">
        <f aca="true" t="shared" si="1" ref="I6:N6">I5/SUM($I5:$N5)</f>
        <v>0.16564168439645136</v>
      </c>
      <c r="J6" s="39">
        <f t="shared" si="1"/>
        <v>0.12530608967925816</v>
      </c>
      <c r="K6" s="39">
        <f t="shared" si="1"/>
        <v>0.24115451005579863</v>
      </c>
      <c r="L6" s="39">
        <f t="shared" si="1"/>
        <v>0.14541367267472202</v>
      </c>
      <c r="M6" s="39">
        <f t="shared" si="1"/>
        <v>0.11792782305005821</v>
      </c>
      <c r="N6" s="39">
        <f t="shared" si="1"/>
        <v>0.2045562201437116</v>
      </c>
    </row>
    <row r="7" spans="1:14" ht="19.5" customHeight="1">
      <c r="A7" s="87" t="s">
        <v>133</v>
      </c>
      <c r="B7" s="87"/>
      <c r="C7" s="40">
        <f aca="true" t="shared" si="2" ref="C7:H7">C6*$B4*$A$3</f>
        <v>8571957.167516356</v>
      </c>
      <c r="D7" s="40">
        <f t="shared" si="2"/>
        <v>6484590.14090161</v>
      </c>
      <c r="E7" s="40">
        <f t="shared" si="2"/>
        <v>12479745.89538758</v>
      </c>
      <c r="F7" s="40">
        <f t="shared" si="2"/>
        <v>7525157.560916864</v>
      </c>
      <c r="G7" s="40">
        <f t="shared" si="2"/>
        <v>6102764.842840512</v>
      </c>
      <c r="H7" s="40">
        <f t="shared" si="2"/>
        <v>10585784.392437076</v>
      </c>
      <c r="I7" s="40">
        <f aca="true" t="shared" si="3" ref="I7:N7">I6*$B4*$A$1</f>
        <v>11785695.717755208</v>
      </c>
      <c r="J7" s="40">
        <f t="shared" si="3"/>
        <v>8915747.566336157</v>
      </c>
      <c r="K7" s="40">
        <f t="shared" si="3"/>
        <v>17158565.41086267</v>
      </c>
      <c r="L7" s="40">
        <f t="shared" si="3"/>
        <v>10346437.284733651</v>
      </c>
      <c r="M7" s="40">
        <f t="shared" si="3"/>
        <v>8390770.98370198</v>
      </c>
      <c r="N7" s="40">
        <f t="shared" si="3"/>
        <v>14554533.036610333</v>
      </c>
    </row>
    <row r="9" spans="1:2" ht="19.5" customHeight="1">
      <c r="A9" s="35" t="s">
        <v>144</v>
      </c>
      <c r="B9" s="37">
        <v>0.35</v>
      </c>
    </row>
    <row r="10" spans="1:14" ht="19.5" customHeight="1">
      <c r="A10" s="87" t="s">
        <v>157</v>
      </c>
      <c r="B10" s="87"/>
      <c r="C10" s="38">
        <f>Demographics!C324</f>
        <v>7168</v>
      </c>
      <c r="D10" s="38">
        <f>Demographics!D324</f>
        <v>5442</v>
      </c>
      <c r="E10" s="38">
        <f>Demographics!E324</f>
        <v>6494</v>
      </c>
      <c r="F10" s="38">
        <f>Demographics!F324</f>
        <v>4991</v>
      </c>
      <c r="G10" s="38">
        <f>Demographics!G324</f>
        <v>4004</v>
      </c>
      <c r="H10" s="38">
        <f>Demographics!H324</f>
        <v>6474</v>
      </c>
      <c r="I10" s="38">
        <f>Demographics!C324</f>
        <v>7168</v>
      </c>
      <c r="J10" s="38">
        <f>Demographics!D324</f>
        <v>5442</v>
      </c>
      <c r="K10" s="38">
        <f>Demographics!E324</f>
        <v>6494</v>
      </c>
      <c r="L10" s="38">
        <f>Demographics!F324</f>
        <v>4991</v>
      </c>
      <c r="M10" s="38">
        <f>Demographics!G324</f>
        <v>4004</v>
      </c>
      <c r="N10" s="38">
        <f>Demographics!H324</f>
        <v>6474</v>
      </c>
    </row>
    <row r="11" spans="1:14" ht="19.5" customHeight="1">
      <c r="A11" s="87" t="s">
        <v>164</v>
      </c>
      <c r="B11" s="87"/>
      <c r="C11" s="39">
        <f>Demographics!C325</f>
        <v>0.20732941891071066</v>
      </c>
      <c r="D11" s="39">
        <f>Demographics!D325</f>
        <v>0.15740606831920864</v>
      </c>
      <c r="E11" s="39">
        <f>Demographics!E325</f>
        <v>0.1878344372776444</v>
      </c>
      <c r="F11" s="39">
        <f>Demographics!F325</f>
        <v>0.1443612067220085</v>
      </c>
      <c r="G11" s="39">
        <f>Demographics!G325</f>
        <v>0.11581291759465479</v>
      </c>
      <c r="H11" s="39">
        <f>Demographics!H325</f>
        <v>0.187255951175773</v>
      </c>
      <c r="I11" s="39">
        <f>Demographics!C325</f>
        <v>0.20732941891071066</v>
      </c>
      <c r="J11" s="39">
        <f>Demographics!D325</f>
        <v>0.15740606831920864</v>
      </c>
      <c r="K11" s="39">
        <f>Demographics!E325</f>
        <v>0.1878344372776444</v>
      </c>
      <c r="L11" s="39">
        <f>Demographics!F325</f>
        <v>0.1443612067220085</v>
      </c>
      <c r="M11" s="39">
        <f>Demographics!G325</f>
        <v>0.11581291759465479</v>
      </c>
      <c r="N11" s="39">
        <f>Demographics!H325</f>
        <v>0.187255951175773</v>
      </c>
    </row>
    <row r="12" spans="1:14" ht="19.5" customHeight="1">
      <c r="A12" s="87" t="s">
        <v>156</v>
      </c>
      <c r="B12" s="87"/>
      <c r="C12" s="40">
        <f aca="true" t="shared" si="4" ref="C12:H12">C11*$B9*$A$3</f>
        <v>8345009.111156103</v>
      </c>
      <c r="D12" s="40">
        <f t="shared" si="4"/>
        <v>6335594.249848148</v>
      </c>
      <c r="E12" s="40">
        <f t="shared" si="4"/>
        <v>7560336.100425187</v>
      </c>
      <c r="F12" s="40">
        <f t="shared" si="4"/>
        <v>5810538.570560842</v>
      </c>
      <c r="G12" s="40">
        <f t="shared" si="4"/>
        <v>4661469.933184855</v>
      </c>
      <c r="H12" s="40">
        <f t="shared" si="4"/>
        <v>7537052.034824863</v>
      </c>
      <c r="I12" s="40">
        <f aca="true" t="shared" si="5" ref="I12:N12">I11*$B9*$A$1</f>
        <v>11473661.874873454</v>
      </c>
      <c r="J12" s="40">
        <f t="shared" si="5"/>
        <v>8710891.172302086</v>
      </c>
      <c r="K12" s="40">
        <f t="shared" si="5"/>
        <v>10394804.71755416</v>
      </c>
      <c r="L12" s="40">
        <f t="shared" si="5"/>
        <v>7988985.270297631</v>
      </c>
      <c r="M12" s="40">
        <f t="shared" si="5"/>
        <v>6409115.812917594</v>
      </c>
      <c r="N12" s="40">
        <f t="shared" si="5"/>
        <v>10362791.152055072</v>
      </c>
    </row>
    <row r="14" spans="1:9" ht="19.5" customHeight="1">
      <c r="A14" s="35" t="s">
        <v>145</v>
      </c>
      <c r="B14" s="37">
        <v>0.2</v>
      </c>
      <c r="C14" s="41" t="s">
        <v>146</v>
      </c>
      <c r="I14" s="41" t="s">
        <v>146</v>
      </c>
    </row>
    <row r="15" spans="1:14" ht="19.5" customHeight="1">
      <c r="A15" s="87" t="s">
        <v>155</v>
      </c>
      <c r="B15" s="87"/>
      <c r="C15" s="38">
        <v>9</v>
      </c>
      <c r="D15" s="38">
        <v>6</v>
      </c>
      <c r="E15" s="38">
        <v>12</v>
      </c>
      <c r="F15" s="38">
        <v>7</v>
      </c>
      <c r="G15" s="38">
        <v>8</v>
      </c>
      <c r="H15" s="38">
        <v>9</v>
      </c>
      <c r="I15" s="38">
        <f>COUNT(Demographics!C3:C53)</f>
        <v>9</v>
      </c>
      <c r="J15" s="38">
        <f>COUNT(Demographics!D3:D53)</f>
        <v>6</v>
      </c>
      <c r="K15" s="38">
        <f>COUNT(Demographics!E3:E53)</f>
        <v>12</v>
      </c>
      <c r="L15" s="38">
        <f>COUNT(Demographics!F3:F53)</f>
        <v>7</v>
      </c>
      <c r="M15" s="38">
        <f>COUNT(Demographics!G3:G53)</f>
        <v>8</v>
      </c>
      <c r="N15" s="38">
        <f>COUNT(Demographics!H3:H53)</f>
        <v>9</v>
      </c>
    </row>
    <row r="16" spans="1:14" ht="19.5" customHeight="1">
      <c r="A16" s="87" t="s">
        <v>164</v>
      </c>
      <c r="B16" s="87"/>
      <c r="C16" s="39">
        <f>C15/SUM($C15:$H15)</f>
        <v>0.17647058823529413</v>
      </c>
      <c r="D16" s="39">
        <f>D15/SUM($C$15:$H$15)</f>
        <v>0.11764705882352941</v>
      </c>
      <c r="E16" s="39">
        <f>E15/SUM($C$15:$H$15)</f>
        <v>0.23529411764705882</v>
      </c>
      <c r="F16" s="39">
        <f>F15/SUM($C$15:$H$15)</f>
        <v>0.13725490196078433</v>
      </c>
      <c r="G16" s="39">
        <f>G15/SUM($C$15:$H$15)</f>
        <v>0.1568627450980392</v>
      </c>
      <c r="H16" s="39">
        <f>H15/SUM($C$15:$H$15)</f>
        <v>0.17647058823529413</v>
      </c>
      <c r="I16" s="39">
        <f aca="true" t="shared" si="6" ref="I16:N16">I15/SUM($I15:$N15)</f>
        <v>0.17647058823529413</v>
      </c>
      <c r="J16" s="39">
        <f t="shared" si="6"/>
        <v>0.11764705882352941</v>
      </c>
      <c r="K16" s="39">
        <f t="shared" si="6"/>
        <v>0.23529411764705882</v>
      </c>
      <c r="L16" s="39">
        <f t="shared" si="6"/>
        <v>0.13725490196078433</v>
      </c>
      <c r="M16" s="39">
        <f t="shared" si="6"/>
        <v>0.1568627450980392</v>
      </c>
      <c r="N16" s="39">
        <f t="shared" si="6"/>
        <v>0.17647058823529413</v>
      </c>
    </row>
    <row r="17" spans="1:14" ht="19.5" customHeight="1">
      <c r="A17" s="87" t="s">
        <v>156</v>
      </c>
      <c r="B17" s="87"/>
      <c r="C17" s="40">
        <f aca="true" t="shared" si="7" ref="C17:H17">C16*$B14*$A$3</f>
        <v>4058823.5294117653</v>
      </c>
      <c r="D17" s="40">
        <f t="shared" si="7"/>
        <v>2705882.3529411764</v>
      </c>
      <c r="E17" s="40">
        <f t="shared" si="7"/>
        <v>5411764.705882353</v>
      </c>
      <c r="F17" s="40">
        <f t="shared" si="7"/>
        <v>3156862.7450980395</v>
      </c>
      <c r="G17" s="40">
        <f t="shared" si="7"/>
        <v>3607843.1372549017</v>
      </c>
      <c r="H17" s="40">
        <f t="shared" si="7"/>
        <v>4058823.5294117653</v>
      </c>
      <c r="I17" s="40">
        <f aca="true" t="shared" si="8" ref="I17:N17">I16*$B14*$A$1</f>
        <v>5580529.4117647065</v>
      </c>
      <c r="J17" s="40">
        <f t="shared" si="8"/>
        <v>3720352.9411764704</v>
      </c>
      <c r="K17" s="40">
        <f t="shared" si="8"/>
        <v>7440705.882352941</v>
      </c>
      <c r="L17" s="40">
        <f t="shared" si="8"/>
        <v>4340411.764705882</v>
      </c>
      <c r="M17" s="40">
        <f t="shared" si="8"/>
        <v>4960470.588235294</v>
      </c>
      <c r="N17" s="40">
        <f t="shared" si="8"/>
        <v>5580529.4117647065</v>
      </c>
    </row>
    <row r="19" spans="1:14" ht="19.5" customHeight="1">
      <c r="A19" s="88" t="s">
        <v>134</v>
      </c>
      <c r="B19" s="88"/>
      <c r="C19" s="40">
        <f aca="true" t="shared" si="9" ref="C19:H19">C17+C12+C7</f>
        <v>20975789.808084227</v>
      </c>
      <c r="D19" s="40">
        <f t="shared" si="9"/>
        <v>15526066.743690934</v>
      </c>
      <c r="E19" s="40">
        <f t="shared" si="9"/>
        <v>25451846.70169512</v>
      </c>
      <c r="F19" s="40">
        <f t="shared" si="9"/>
        <v>16492558.876575746</v>
      </c>
      <c r="G19" s="40">
        <f t="shared" si="9"/>
        <v>14372077.913280267</v>
      </c>
      <c r="H19" s="40">
        <f t="shared" si="9"/>
        <v>22181659.956673704</v>
      </c>
      <c r="I19" s="40">
        <f aca="true" t="shared" si="10" ref="I19:N19">I17+I12+I7</f>
        <v>28839887.00439337</v>
      </c>
      <c r="J19" s="40">
        <f t="shared" si="10"/>
        <v>21346991.67981471</v>
      </c>
      <c r="K19" s="40">
        <f t="shared" si="10"/>
        <v>34994076.01076977</v>
      </c>
      <c r="L19" s="40">
        <f t="shared" si="10"/>
        <v>22675834.319737166</v>
      </c>
      <c r="M19" s="40">
        <f t="shared" si="10"/>
        <v>19760357.384854868</v>
      </c>
      <c r="N19" s="40">
        <f t="shared" si="10"/>
        <v>30497853.60043011</v>
      </c>
    </row>
    <row r="20" spans="1:14" ht="19.5" customHeight="1">
      <c r="A20" s="35" t="s">
        <v>164</v>
      </c>
      <c r="C20" s="39">
        <f aca="true" t="shared" si="11" ref="C20:H20">C19/SUM($C19:$H19)</f>
        <v>0.18239817224421068</v>
      </c>
      <c r="D20" s="39">
        <f t="shared" si="11"/>
        <v>0.1350092760320951</v>
      </c>
      <c r="E20" s="39">
        <f t="shared" si="11"/>
        <v>0.2213204061016967</v>
      </c>
      <c r="F20" s="39">
        <f t="shared" si="11"/>
        <v>0.14341355544848475</v>
      </c>
      <c r="G20" s="39">
        <f t="shared" si="11"/>
        <v>0.12497459055026319</v>
      </c>
      <c r="H20" s="39">
        <f t="shared" si="11"/>
        <v>0.1928839996232496</v>
      </c>
      <c r="I20" s="39">
        <f aca="true" t="shared" si="12" ref="I20:N20">I19/SUM($I19:$N19)</f>
        <v>0.18239817224421065</v>
      </c>
      <c r="J20" s="39">
        <f t="shared" si="12"/>
        <v>0.13500927603209506</v>
      </c>
      <c r="K20" s="39">
        <f t="shared" si="12"/>
        <v>0.22132040610169668</v>
      </c>
      <c r="L20" s="39">
        <f t="shared" si="12"/>
        <v>0.14341355544848475</v>
      </c>
      <c r="M20" s="39">
        <f t="shared" si="12"/>
        <v>0.12497459055026322</v>
      </c>
      <c r="N20" s="39">
        <f t="shared" si="12"/>
        <v>0.1928839996232496</v>
      </c>
    </row>
  </sheetData>
  <mergeCells count="14">
    <mergeCell ref="A12:B12"/>
    <mergeCell ref="A19:B19"/>
    <mergeCell ref="A6:B6"/>
    <mergeCell ref="A7:B7"/>
    <mergeCell ref="A10:B10"/>
    <mergeCell ref="A11:B11"/>
    <mergeCell ref="A15:B15"/>
    <mergeCell ref="A16:B16"/>
    <mergeCell ref="A17:B17"/>
    <mergeCell ref="I1:N1"/>
    <mergeCell ref="A1:B1"/>
    <mergeCell ref="A2:B2"/>
    <mergeCell ref="A5:B5"/>
    <mergeCell ref="C1:H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&amp;C&amp;"Times New Roman,Bold"&amp;12&amp;U&amp;A&amp;R&amp;"Times New Roman,Regular"&amp;12Appendix H</oddHeader>
    <oddFooter>&amp;C&amp;"Times New Roman,Regular"&amp;12H-&amp;P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workbookViewId="0" topLeftCell="A1">
      <pane xSplit="2" ySplit="1" topLeftCell="C2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2.75"/>
  <cols>
    <col min="1" max="1" width="15.57421875" style="35" customWidth="1"/>
    <col min="2" max="2" width="4.421875" style="32" bestFit="1" customWidth="1"/>
    <col min="3" max="8" width="9.7109375" style="32" customWidth="1"/>
    <col min="9" max="9" width="0" style="32" hidden="1" customWidth="1"/>
    <col min="10" max="16384" width="9.140625" style="32" customWidth="1"/>
  </cols>
  <sheetData>
    <row r="1" spans="3:8" s="35" customFormat="1" ht="11.25">
      <c r="C1" s="55" t="s">
        <v>67</v>
      </c>
      <c r="D1" s="55" t="s">
        <v>68</v>
      </c>
      <c r="E1" s="34" t="s">
        <v>71</v>
      </c>
      <c r="F1" s="55" t="s">
        <v>66</v>
      </c>
      <c r="G1" s="55" t="s">
        <v>70</v>
      </c>
      <c r="H1" s="55" t="s">
        <v>69</v>
      </c>
    </row>
    <row r="2" ht="11.25">
      <c r="A2" s="35" t="s">
        <v>165</v>
      </c>
    </row>
    <row r="3" spans="1:6" ht="11.25">
      <c r="A3" s="35" t="s">
        <v>17</v>
      </c>
      <c r="B3" s="32" t="s">
        <v>66</v>
      </c>
      <c r="F3" s="50">
        <v>4352</v>
      </c>
    </row>
    <row r="4" spans="1:3" ht="11.25">
      <c r="A4" s="35" t="s">
        <v>18</v>
      </c>
      <c r="B4" s="32" t="s">
        <v>67</v>
      </c>
      <c r="C4" s="50">
        <v>614</v>
      </c>
    </row>
    <row r="5" spans="1:4" ht="11.25">
      <c r="A5" s="35" t="s">
        <v>19</v>
      </c>
      <c r="B5" s="32" t="s">
        <v>68</v>
      </c>
      <c r="D5" s="50">
        <v>4669</v>
      </c>
    </row>
    <row r="6" spans="1:6" ht="11.25">
      <c r="A6" s="35" t="s">
        <v>20</v>
      </c>
      <c r="B6" s="32" t="s">
        <v>66</v>
      </c>
      <c r="F6" s="50">
        <v>2538</v>
      </c>
    </row>
    <row r="7" spans="1:3" ht="11.25">
      <c r="A7" s="35" t="s">
        <v>21</v>
      </c>
      <c r="B7" s="32" t="s">
        <v>67</v>
      </c>
      <c r="C7" s="50">
        <v>32667</v>
      </c>
    </row>
    <row r="8" spans="1:4" ht="11.25">
      <c r="A8" s="35" t="s">
        <v>22</v>
      </c>
      <c r="B8" s="32" t="s">
        <v>68</v>
      </c>
      <c r="D8" s="50">
        <v>3971</v>
      </c>
    </row>
    <row r="9" spans="1:8" ht="11.25">
      <c r="A9" s="35" t="s">
        <v>72</v>
      </c>
      <c r="B9" s="32" t="s">
        <v>69</v>
      </c>
      <c r="H9" s="50">
        <v>3274</v>
      </c>
    </row>
    <row r="10" spans="1:7" ht="11.25">
      <c r="A10" s="35" t="s">
        <v>23</v>
      </c>
      <c r="B10" s="32" t="s">
        <v>70</v>
      </c>
      <c r="G10" s="50">
        <v>744</v>
      </c>
    </row>
    <row r="11" spans="1:7" ht="11.25">
      <c r="A11" s="35" t="s">
        <v>24</v>
      </c>
      <c r="B11" s="32" t="s">
        <v>70</v>
      </c>
      <c r="G11" s="50">
        <v>523</v>
      </c>
    </row>
    <row r="12" spans="1:6" ht="11.25">
      <c r="A12" s="35" t="s">
        <v>25</v>
      </c>
      <c r="B12" s="32" t="s">
        <v>66</v>
      </c>
      <c r="F12" s="50">
        <v>14916</v>
      </c>
    </row>
    <row r="13" spans="1:6" ht="11.25">
      <c r="A13" s="35" t="s">
        <v>26</v>
      </c>
      <c r="B13" s="32" t="s">
        <v>66</v>
      </c>
      <c r="F13" s="50">
        <v>7642</v>
      </c>
    </row>
    <row r="14" spans="1:3" ht="11.25">
      <c r="A14" s="35" t="s">
        <v>27</v>
      </c>
      <c r="B14" s="32" t="s">
        <v>67</v>
      </c>
      <c r="C14" s="50">
        <v>1193</v>
      </c>
    </row>
    <row r="15" spans="1:3" ht="11.25">
      <c r="A15" s="35" t="s">
        <v>28</v>
      </c>
      <c r="B15" s="32" t="s">
        <v>67</v>
      </c>
      <c r="C15" s="50">
        <v>1229</v>
      </c>
    </row>
    <row r="16" spans="1:5" ht="11.25">
      <c r="A16" s="35" t="s">
        <v>29</v>
      </c>
      <c r="B16" s="32" t="s">
        <v>71</v>
      </c>
      <c r="E16" s="50">
        <v>12045</v>
      </c>
    </row>
    <row r="17" spans="1:5" ht="11.25">
      <c r="A17" s="35" t="s">
        <v>30</v>
      </c>
      <c r="B17" s="32" t="s">
        <v>71</v>
      </c>
      <c r="E17" s="50">
        <v>5899</v>
      </c>
    </row>
    <row r="18" spans="1:5" ht="11.25">
      <c r="A18" s="35" t="s">
        <v>31</v>
      </c>
      <c r="B18" s="32" t="s">
        <v>71</v>
      </c>
      <c r="E18" s="50">
        <v>2862</v>
      </c>
    </row>
    <row r="19" spans="1:5" ht="11.25">
      <c r="A19" s="35" t="s">
        <v>32</v>
      </c>
      <c r="B19" s="32" t="s">
        <v>71</v>
      </c>
      <c r="E19" s="50">
        <v>2629</v>
      </c>
    </row>
    <row r="20" spans="1:7" ht="11.25">
      <c r="A20" s="35" t="s">
        <v>33</v>
      </c>
      <c r="B20" s="32" t="s">
        <v>70</v>
      </c>
      <c r="G20" s="50">
        <v>3936</v>
      </c>
    </row>
    <row r="21" spans="1:6" ht="11.25">
      <c r="A21" s="35" t="s">
        <v>34</v>
      </c>
      <c r="B21" s="32" t="s">
        <v>66</v>
      </c>
      <c r="F21" s="50">
        <v>4369</v>
      </c>
    </row>
    <row r="22" spans="1:8" ht="11.25">
      <c r="A22" s="35" t="s">
        <v>35</v>
      </c>
      <c r="B22" s="32" t="s">
        <v>69</v>
      </c>
      <c r="H22" s="50">
        <v>1244</v>
      </c>
    </row>
    <row r="23" spans="1:7" ht="11.25">
      <c r="A23" s="35" t="s">
        <v>36</v>
      </c>
      <c r="B23" s="32" t="s">
        <v>70</v>
      </c>
      <c r="G23" s="50">
        <v>5135</v>
      </c>
    </row>
    <row r="24" spans="1:8" ht="11.25">
      <c r="A24" s="35" t="s">
        <v>37</v>
      </c>
      <c r="B24" s="32" t="s">
        <v>69</v>
      </c>
      <c r="H24" s="50">
        <v>6147</v>
      </c>
    </row>
    <row r="25" spans="1:5" ht="11.25">
      <c r="A25" s="35" t="s">
        <v>38</v>
      </c>
      <c r="B25" s="32" t="s">
        <v>71</v>
      </c>
      <c r="E25" s="50">
        <v>9817</v>
      </c>
    </row>
    <row r="26" spans="1:5" ht="11.25">
      <c r="A26" s="35" t="s">
        <v>39</v>
      </c>
      <c r="B26" s="32" t="s">
        <v>71</v>
      </c>
      <c r="E26" s="50">
        <v>4725</v>
      </c>
    </row>
    <row r="27" spans="1:6" ht="11.25">
      <c r="A27" s="35" t="s">
        <v>40</v>
      </c>
      <c r="B27" s="32" t="s">
        <v>66</v>
      </c>
      <c r="F27" s="50">
        <v>2752</v>
      </c>
    </row>
    <row r="28" spans="1:5" ht="11.25">
      <c r="A28" s="35" t="s">
        <v>41</v>
      </c>
      <c r="B28" s="32" t="s">
        <v>71</v>
      </c>
      <c r="E28" s="50">
        <v>5439</v>
      </c>
    </row>
    <row r="29" spans="1:3" ht="11.25">
      <c r="A29" s="35" t="s">
        <v>42</v>
      </c>
      <c r="B29" s="32" t="s">
        <v>67</v>
      </c>
      <c r="C29" s="50">
        <v>880</v>
      </c>
    </row>
    <row r="30" spans="1:5" ht="11.25">
      <c r="A30" s="35" t="s">
        <v>43</v>
      </c>
      <c r="B30" s="32" t="s">
        <v>71</v>
      </c>
      <c r="E30" s="50">
        <v>1663</v>
      </c>
    </row>
    <row r="31" spans="1:3" ht="11.25">
      <c r="A31" s="35" t="s">
        <v>44</v>
      </c>
      <c r="B31" s="32" t="s">
        <v>67</v>
      </c>
      <c r="C31" s="50">
        <v>1747</v>
      </c>
    </row>
    <row r="32" spans="1:8" ht="11.25">
      <c r="A32" s="35" t="s">
        <v>45</v>
      </c>
      <c r="B32" s="32" t="s">
        <v>69</v>
      </c>
      <c r="H32" s="50">
        <v>1185</v>
      </c>
    </row>
    <row r="33" spans="1:8" ht="11.25">
      <c r="A33" s="35" t="s">
        <v>46</v>
      </c>
      <c r="B33" s="32" t="s">
        <v>69</v>
      </c>
      <c r="H33" s="50">
        <v>8115</v>
      </c>
    </row>
    <row r="34" spans="1:4" ht="11.25">
      <c r="A34" s="35" t="s">
        <v>47</v>
      </c>
      <c r="B34" s="32" t="s">
        <v>68</v>
      </c>
      <c r="D34" s="50">
        <v>1737</v>
      </c>
    </row>
    <row r="35" spans="1:8" ht="11.25">
      <c r="A35" s="35" t="s">
        <v>76</v>
      </c>
      <c r="B35" s="32" t="s">
        <v>69</v>
      </c>
      <c r="H35" s="50">
        <v>18175</v>
      </c>
    </row>
    <row r="36" spans="1:7" ht="11.25">
      <c r="A36" s="35" t="s">
        <v>48</v>
      </c>
      <c r="B36" s="32" t="s">
        <v>70</v>
      </c>
      <c r="G36" s="50">
        <v>7546</v>
      </c>
    </row>
    <row r="37" spans="1:5" ht="11.25">
      <c r="A37" s="35" t="s">
        <v>49</v>
      </c>
      <c r="B37" s="32" t="s">
        <v>71</v>
      </c>
      <c r="E37" s="50">
        <v>638</v>
      </c>
    </row>
    <row r="38" spans="1:5" ht="11.25">
      <c r="A38" s="35" t="s">
        <v>50</v>
      </c>
      <c r="B38" s="32" t="s">
        <v>71</v>
      </c>
      <c r="E38" s="50">
        <v>11209</v>
      </c>
    </row>
    <row r="39" spans="1:4" ht="11.25">
      <c r="A39" s="35" t="s">
        <v>51</v>
      </c>
      <c r="B39" s="32" t="s">
        <v>68</v>
      </c>
      <c r="D39" s="50">
        <v>3347</v>
      </c>
    </row>
    <row r="40" spans="1:3" ht="11.25">
      <c r="A40" s="35" t="s">
        <v>52</v>
      </c>
      <c r="B40" s="32" t="s">
        <v>67</v>
      </c>
      <c r="C40" s="50">
        <v>3282</v>
      </c>
    </row>
    <row r="41" spans="1:8" ht="11.25">
      <c r="A41" s="35" t="s">
        <v>53</v>
      </c>
      <c r="B41" s="32" t="s">
        <v>69</v>
      </c>
      <c r="H41" s="50">
        <v>12001</v>
      </c>
    </row>
    <row r="42" spans="1:8" ht="11.25">
      <c r="A42" s="35" t="s">
        <v>54</v>
      </c>
      <c r="B42" s="32" t="s">
        <v>69</v>
      </c>
      <c r="H42" s="50">
        <v>988</v>
      </c>
    </row>
    <row r="43" spans="1:6" ht="11.25">
      <c r="A43" s="35" t="s">
        <v>55</v>
      </c>
      <c r="B43" s="32" t="s">
        <v>66</v>
      </c>
      <c r="F43" s="50">
        <v>3836</v>
      </c>
    </row>
    <row r="44" spans="1:5" ht="11.25">
      <c r="A44" s="35" t="s">
        <v>56</v>
      </c>
      <c r="B44" s="32" t="s">
        <v>71</v>
      </c>
      <c r="E44" s="50">
        <v>738</v>
      </c>
    </row>
    <row r="45" spans="1:7" ht="11.25">
      <c r="A45" s="35" t="s">
        <v>57</v>
      </c>
      <c r="B45" s="32" t="s">
        <v>70</v>
      </c>
      <c r="G45" s="50">
        <v>5431</v>
      </c>
    </row>
    <row r="46" spans="1:4" ht="11.25">
      <c r="A46" s="35" t="s">
        <v>58</v>
      </c>
      <c r="B46" s="32" t="s">
        <v>68</v>
      </c>
      <c r="D46" s="50">
        <v>19760</v>
      </c>
    </row>
    <row r="47" spans="1:4" ht="11.25">
      <c r="A47" s="35" t="s">
        <v>59</v>
      </c>
      <c r="B47" s="32" t="s">
        <v>68</v>
      </c>
      <c r="D47" s="50">
        <v>2100</v>
      </c>
    </row>
    <row r="48" spans="1:8" ht="11.25">
      <c r="A48" s="35" t="s">
        <v>60</v>
      </c>
      <c r="B48" s="32" t="s">
        <v>69</v>
      </c>
      <c r="H48" s="50">
        <v>591</v>
      </c>
    </row>
    <row r="49" spans="1:7" ht="11.25">
      <c r="A49" s="35" t="s">
        <v>61</v>
      </c>
      <c r="B49" s="32" t="s">
        <v>70</v>
      </c>
      <c r="G49" s="50">
        <v>6791</v>
      </c>
    </row>
    <row r="50" spans="1:3" ht="11.25">
      <c r="A50" s="35" t="s">
        <v>62</v>
      </c>
      <c r="B50" s="32" t="s">
        <v>67</v>
      </c>
      <c r="C50" s="50">
        <v>5689</v>
      </c>
    </row>
    <row r="51" spans="1:7" ht="11.25">
      <c r="A51" s="35" t="s">
        <v>63</v>
      </c>
      <c r="B51" s="32" t="s">
        <v>70</v>
      </c>
      <c r="G51" s="50">
        <v>1811</v>
      </c>
    </row>
    <row r="52" spans="1:5" ht="11.25">
      <c r="A52" s="35" t="s">
        <v>64</v>
      </c>
      <c r="B52" s="32" t="s">
        <v>71</v>
      </c>
      <c r="E52" s="50">
        <v>5224</v>
      </c>
    </row>
    <row r="53" spans="1:3" ht="11.25">
      <c r="A53" s="35" t="s">
        <v>65</v>
      </c>
      <c r="B53" s="32" t="s">
        <v>67</v>
      </c>
      <c r="C53" s="51">
        <v>481</v>
      </c>
    </row>
    <row r="54" spans="1:9" ht="12">
      <c r="A54" s="92" t="s">
        <v>94</v>
      </c>
      <c r="B54" s="92"/>
      <c r="C54" s="51">
        <f aca="true" t="shared" si="0" ref="C54:H54">SUM(C3:C53)</f>
        <v>47782</v>
      </c>
      <c r="D54" s="51">
        <f t="shared" si="0"/>
        <v>35584</v>
      </c>
      <c r="E54" s="51">
        <f t="shared" si="0"/>
        <v>62888</v>
      </c>
      <c r="F54" s="51">
        <f>SUM(F3:F53)</f>
        <v>40405</v>
      </c>
      <c r="G54" s="51">
        <f t="shared" si="0"/>
        <v>31917</v>
      </c>
      <c r="H54" s="51">
        <f t="shared" si="0"/>
        <v>51720</v>
      </c>
      <c r="I54" s="52">
        <f>SUM(C54:H54)</f>
        <v>270296</v>
      </c>
    </row>
    <row r="55" spans="1:8" ht="12">
      <c r="A55" s="92" t="s">
        <v>100</v>
      </c>
      <c r="B55" s="92"/>
      <c r="C55" s="39">
        <f aca="true" t="shared" si="1" ref="C55:H55">C54/$I54</f>
        <v>0.17677657087045312</v>
      </c>
      <c r="D55" s="39">
        <f t="shared" si="1"/>
        <v>0.1316482670849735</v>
      </c>
      <c r="E55" s="39">
        <f t="shared" si="1"/>
        <v>0.23266345043951817</v>
      </c>
      <c r="F55" s="39">
        <f t="shared" si="1"/>
        <v>0.14948426909758192</v>
      </c>
      <c r="G55" s="39">
        <f t="shared" si="1"/>
        <v>0.11808165862609879</v>
      </c>
      <c r="H55" s="39">
        <f t="shared" si="1"/>
        <v>0.1913457838813745</v>
      </c>
    </row>
    <row r="56" ht="11.25">
      <c r="A56" s="35" t="s">
        <v>166</v>
      </c>
    </row>
    <row r="57" spans="1:6" ht="11.25">
      <c r="A57" s="35" t="s">
        <v>17</v>
      </c>
      <c r="B57" s="32" t="s">
        <v>66</v>
      </c>
      <c r="F57" s="32">
        <v>85.8</v>
      </c>
    </row>
    <row r="58" spans="1:3" ht="11.25">
      <c r="A58" s="35" t="s">
        <v>18</v>
      </c>
      <c r="B58" s="32" t="s">
        <v>67</v>
      </c>
      <c r="C58" s="32">
        <v>1.1</v>
      </c>
    </row>
    <row r="59" spans="1:4" ht="11.25">
      <c r="A59" s="35" t="s">
        <v>19</v>
      </c>
      <c r="B59" s="32" t="s">
        <v>68</v>
      </c>
      <c r="D59" s="32">
        <v>41.1</v>
      </c>
    </row>
    <row r="60" spans="1:6" ht="11.25">
      <c r="A60" s="35" t="s">
        <v>20</v>
      </c>
      <c r="B60" s="32" t="s">
        <v>66</v>
      </c>
      <c r="F60" s="32">
        <v>48.7</v>
      </c>
    </row>
    <row r="61" spans="1:3" ht="11.25">
      <c r="A61" s="35" t="s">
        <v>21</v>
      </c>
      <c r="B61" s="32" t="s">
        <v>67</v>
      </c>
      <c r="C61" s="32">
        <v>209.4</v>
      </c>
    </row>
    <row r="62" spans="1:4" ht="11.25">
      <c r="A62" s="35" t="s">
        <v>22</v>
      </c>
      <c r="B62" s="32" t="s">
        <v>68</v>
      </c>
      <c r="D62" s="32">
        <v>38.3</v>
      </c>
    </row>
    <row r="63" spans="1:8" ht="11.25">
      <c r="A63" s="35" t="s">
        <v>72</v>
      </c>
      <c r="B63" s="32" t="s">
        <v>69</v>
      </c>
      <c r="H63" s="32">
        <v>675.7</v>
      </c>
    </row>
    <row r="64" spans="1:7" ht="11.25">
      <c r="A64" s="35" t="s">
        <v>23</v>
      </c>
      <c r="B64" s="32" t="s">
        <v>70</v>
      </c>
      <c r="G64" s="32">
        <v>380.4</v>
      </c>
    </row>
    <row r="65" spans="1:7" ht="11.25">
      <c r="A65" s="35" t="s">
        <v>24</v>
      </c>
      <c r="B65" s="32" t="s">
        <v>70</v>
      </c>
      <c r="G65" s="32">
        <v>8519.9</v>
      </c>
    </row>
    <row r="66" spans="1:6" ht="11.25">
      <c r="A66" s="35" t="s">
        <v>25</v>
      </c>
      <c r="B66" s="32" t="s">
        <v>66</v>
      </c>
      <c r="F66" s="32">
        <v>276.2</v>
      </c>
    </row>
    <row r="67" spans="1:6" ht="11.25">
      <c r="A67" s="35" t="s">
        <v>26</v>
      </c>
      <c r="B67" s="32" t="s">
        <v>66</v>
      </c>
      <c r="F67" s="32">
        <v>131.9</v>
      </c>
    </row>
    <row r="68" spans="1:3" ht="11.25">
      <c r="A68" s="35" t="s">
        <v>27</v>
      </c>
      <c r="B68" s="32" t="s">
        <v>67</v>
      </c>
      <c r="C68" s="32">
        <v>185.7</v>
      </c>
    </row>
    <row r="69" spans="1:3" ht="11.25">
      <c r="A69" s="35" t="s">
        <v>28</v>
      </c>
      <c r="B69" s="32" t="s">
        <v>67</v>
      </c>
      <c r="C69" s="32">
        <v>14.8</v>
      </c>
    </row>
    <row r="70" spans="1:5" ht="11.25">
      <c r="A70" s="35" t="s">
        <v>29</v>
      </c>
      <c r="B70" s="32" t="s">
        <v>71</v>
      </c>
      <c r="E70" s="32">
        <v>216.7</v>
      </c>
    </row>
    <row r="71" spans="1:5" ht="11.25">
      <c r="A71" s="35" t="s">
        <v>30</v>
      </c>
      <c r="B71" s="32" t="s">
        <v>71</v>
      </c>
      <c r="E71" s="32">
        <v>164.5</v>
      </c>
    </row>
    <row r="72" spans="1:5" ht="11.25">
      <c r="A72" s="35" t="s">
        <v>31</v>
      </c>
      <c r="B72" s="32" t="s">
        <v>71</v>
      </c>
      <c r="E72" s="32">
        <v>51.2</v>
      </c>
    </row>
    <row r="73" spans="1:5" ht="11.25">
      <c r="A73" s="35" t="s">
        <v>32</v>
      </c>
      <c r="B73" s="32" t="s">
        <v>71</v>
      </c>
      <c r="E73" s="32">
        <v>32.1</v>
      </c>
    </row>
    <row r="74" spans="1:7" ht="11.25">
      <c r="A74" s="35" t="s">
        <v>33</v>
      </c>
      <c r="B74" s="32" t="s">
        <v>70</v>
      </c>
      <c r="G74" s="32">
        <v>99.1</v>
      </c>
    </row>
    <row r="75" spans="1:6" ht="11.25">
      <c r="A75" s="35" t="s">
        <v>34</v>
      </c>
      <c r="B75" s="32" t="s">
        <v>66</v>
      </c>
      <c r="F75" s="32">
        <v>100.3</v>
      </c>
    </row>
    <row r="76" spans="1:8" ht="11.25">
      <c r="A76" s="35" t="s">
        <v>35</v>
      </c>
      <c r="B76" s="32" t="s">
        <v>69</v>
      </c>
      <c r="H76" s="32">
        <v>40.3</v>
      </c>
    </row>
    <row r="77" spans="1:7" ht="11.25">
      <c r="A77" s="35" t="s">
        <v>36</v>
      </c>
      <c r="B77" s="32" t="s">
        <v>70</v>
      </c>
      <c r="G77" s="32">
        <v>525.3</v>
      </c>
    </row>
    <row r="78" spans="1:8" ht="11.25">
      <c r="A78" s="35" t="s">
        <v>37</v>
      </c>
      <c r="B78" s="32" t="s">
        <v>69</v>
      </c>
      <c r="H78" s="32">
        <v>784.3</v>
      </c>
    </row>
    <row r="79" spans="1:5" ht="11.25">
      <c r="A79" s="35" t="s">
        <v>38</v>
      </c>
      <c r="B79" s="32" t="s">
        <v>71</v>
      </c>
      <c r="E79" s="32">
        <v>172.8</v>
      </c>
    </row>
    <row r="80" spans="1:5" ht="11.25">
      <c r="A80" s="35" t="s">
        <v>39</v>
      </c>
      <c r="B80" s="32" t="s">
        <v>71</v>
      </c>
      <c r="E80" s="32">
        <v>59.4</v>
      </c>
    </row>
    <row r="81" spans="1:6" ht="11.25">
      <c r="A81" s="35" t="s">
        <v>40</v>
      </c>
      <c r="B81" s="32" t="s">
        <v>66</v>
      </c>
      <c r="F81" s="32">
        <v>58.7</v>
      </c>
    </row>
    <row r="82" spans="1:5" ht="11.25">
      <c r="A82" s="35" t="s">
        <v>41</v>
      </c>
      <c r="B82" s="32" t="s">
        <v>71</v>
      </c>
      <c r="E82" s="32">
        <v>78.9</v>
      </c>
    </row>
    <row r="83" spans="1:3" ht="11.25">
      <c r="A83" s="35" t="s">
        <v>42</v>
      </c>
      <c r="B83" s="32" t="s">
        <v>67</v>
      </c>
      <c r="C83" s="32">
        <v>6</v>
      </c>
    </row>
    <row r="84" spans="1:5" ht="11.25">
      <c r="A84" s="35" t="s">
        <v>43</v>
      </c>
      <c r="B84" s="32" t="s">
        <v>71</v>
      </c>
      <c r="E84" s="32">
        <v>21.6</v>
      </c>
    </row>
    <row r="85" spans="1:3" ht="11.25">
      <c r="A85" s="35" t="s">
        <v>44</v>
      </c>
      <c r="B85" s="32" t="s">
        <v>67</v>
      </c>
      <c r="C85" s="32">
        <v>15.9</v>
      </c>
    </row>
    <row r="86" spans="1:8" ht="11.25">
      <c r="A86" s="35" t="s">
        <v>45</v>
      </c>
      <c r="B86" s="32" t="s">
        <v>69</v>
      </c>
      <c r="H86" s="32">
        <v>132.1</v>
      </c>
    </row>
    <row r="87" spans="1:8" ht="11.25">
      <c r="A87" s="35" t="s">
        <v>46</v>
      </c>
      <c r="B87" s="32" t="s">
        <v>69</v>
      </c>
      <c r="H87" s="32">
        <v>1093.8</v>
      </c>
    </row>
    <row r="88" spans="1:4" ht="11.25">
      <c r="A88" s="35" t="s">
        <v>47</v>
      </c>
      <c r="B88" s="32" t="s">
        <v>68</v>
      </c>
      <c r="D88" s="32">
        <v>14.3</v>
      </c>
    </row>
    <row r="89" spans="1:8" ht="11.25">
      <c r="A89" s="35" t="s">
        <v>76</v>
      </c>
      <c r="B89" s="32" t="s">
        <v>69</v>
      </c>
      <c r="H89" s="32">
        <v>384.9</v>
      </c>
    </row>
    <row r="90" spans="1:7" ht="11.25">
      <c r="A90" s="35" t="s">
        <v>48</v>
      </c>
      <c r="B90" s="32" t="s">
        <v>70</v>
      </c>
      <c r="G90" s="32">
        <v>154.9</v>
      </c>
    </row>
    <row r="91" spans="1:5" ht="11.25">
      <c r="A91" s="35" t="s">
        <v>49</v>
      </c>
      <c r="B91" s="32" t="s">
        <v>71</v>
      </c>
      <c r="E91" s="32">
        <v>9.3</v>
      </c>
    </row>
    <row r="92" spans="1:5" ht="11.25">
      <c r="A92" s="35" t="s">
        <v>50</v>
      </c>
      <c r="B92" s="32" t="s">
        <v>71</v>
      </c>
      <c r="E92" s="32">
        <v>273.7</v>
      </c>
    </row>
    <row r="93" spans="1:4" ht="11.25">
      <c r="A93" s="35" t="s">
        <v>51</v>
      </c>
      <c r="B93" s="32" t="s">
        <v>68</v>
      </c>
      <c r="D93" s="32">
        <v>48.7</v>
      </c>
    </row>
    <row r="94" spans="1:3" ht="11.25">
      <c r="A94" s="35" t="s">
        <v>52</v>
      </c>
      <c r="B94" s="32" t="s">
        <v>67</v>
      </c>
      <c r="C94" s="32">
        <v>34.2</v>
      </c>
    </row>
    <row r="95" spans="1:8" ht="11.25">
      <c r="A95" s="35" t="s">
        <v>53</v>
      </c>
      <c r="B95" s="32" t="s">
        <v>69</v>
      </c>
      <c r="H95" s="32">
        <v>267.8</v>
      </c>
    </row>
    <row r="96" spans="1:8" ht="11.25">
      <c r="A96" s="35" t="s">
        <v>54</v>
      </c>
      <c r="B96" s="32" t="s">
        <v>69</v>
      </c>
      <c r="H96" s="32">
        <v>945.9</v>
      </c>
    </row>
    <row r="97" spans="1:6" ht="11.25">
      <c r="A97" s="35" t="s">
        <v>55</v>
      </c>
      <c r="B97" s="32" t="s">
        <v>66</v>
      </c>
      <c r="F97" s="32">
        <v>127.4</v>
      </c>
    </row>
    <row r="98" spans="1:5" ht="11.25">
      <c r="A98" s="35" t="s">
        <v>56</v>
      </c>
      <c r="B98" s="32" t="s">
        <v>71</v>
      </c>
      <c r="E98" s="32">
        <v>9.7</v>
      </c>
    </row>
    <row r="99" spans="1:7" ht="11.25">
      <c r="A99" s="35" t="s">
        <v>57</v>
      </c>
      <c r="B99" s="32" t="s">
        <v>70</v>
      </c>
      <c r="G99" s="32">
        <v>131.7</v>
      </c>
    </row>
    <row r="100" spans="1:4" ht="11.25">
      <c r="A100" s="35" t="s">
        <v>58</v>
      </c>
      <c r="B100" s="32" t="s">
        <v>68</v>
      </c>
      <c r="D100" s="32">
        <v>75.4</v>
      </c>
    </row>
    <row r="101" spans="1:4" ht="11.25">
      <c r="A101" s="35" t="s">
        <v>59</v>
      </c>
      <c r="B101" s="32" t="s">
        <v>68</v>
      </c>
      <c r="D101" s="32">
        <v>25.6</v>
      </c>
    </row>
    <row r="102" spans="1:8" ht="11.25">
      <c r="A102" s="35" t="s">
        <v>60</v>
      </c>
      <c r="B102" s="32" t="s">
        <v>69</v>
      </c>
      <c r="H102" s="32">
        <v>63.9</v>
      </c>
    </row>
    <row r="103" spans="1:7" ht="11.25">
      <c r="A103" s="35" t="s">
        <v>61</v>
      </c>
      <c r="B103" s="32" t="s">
        <v>70</v>
      </c>
      <c r="G103" s="32">
        <v>171.5</v>
      </c>
    </row>
    <row r="104" spans="1:3" ht="11.25">
      <c r="A104" s="35" t="s">
        <v>62</v>
      </c>
      <c r="B104" s="32" t="s">
        <v>67</v>
      </c>
      <c r="C104" s="32">
        <v>85.4</v>
      </c>
    </row>
    <row r="105" spans="1:7" ht="11.25">
      <c r="A105" s="35" t="s">
        <v>63</v>
      </c>
      <c r="B105" s="32" t="s">
        <v>70</v>
      </c>
      <c r="G105" s="32">
        <v>75.2</v>
      </c>
    </row>
    <row r="106" spans="1:5" ht="11.25">
      <c r="A106" s="35" t="s">
        <v>64</v>
      </c>
      <c r="B106" s="32" t="s">
        <v>71</v>
      </c>
      <c r="E106" s="32">
        <v>96.2</v>
      </c>
    </row>
    <row r="107" spans="1:3" ht="11.25">
      <c r="A107" s="35" t="s">
        <v>65</v>
      </c>
      <c r="B107" s="32" t="s">
        <v>67</v>
      </c>
      <c r="C107" s="36">
        <v>5</v>
      </c>
    </row>
    <row r="108" spans="1:9" ht="12">
      <c r="A108" s="92" t="s">
        <v>101</v>
      </c>
      <c r="B108" s="92"/>
      <c r="C108" s="51">
        <f aca="true" t="shared" si="2" ref="C108:H108">AVERAGE(C57:C107)</f>
        <v>61.94444444444444</v>
      </c>
      <c r="D108" s="51">
        <f t="shared" si="2"/>
        <v>40.56666666666667</v>
      </c>
      <c r="E108" s="51">
        <f t="shared" si="2"/>
        <v>98.84166666666665</v>
      </c>
      <c r="F108" s="51">
        <f t="shared" si="2"/>
        <v>118.42857142857143</v>
      </c>
      <c r="G108" s="51">
        <f t="shared" si="2"/>
        <v>1257.25</v>
      </c>
      <c r="H108" s="51">
        <f t="shared" si="2"/>
        <v>487.6333333333333</v>
      </c>
      <c r="I108" s="52">
        <f>SUM(C108:H108)</f>
        <v>2064.6646825396824</v>
      </c>
    </row>
    <row r="109" spans="1:8" ht="12">
      <c r="A109" s="92" t="s">
        <v>100</v>
      </c>
      <c r="B109" s="92"/>
      <c r="C109" s="39">
        <f aca="true" t="shared" si="3" ref="C109:H109">C108/$I108</f>
        <v>0.03000218145265527</v>
      </c>
      <c r="D109" s="39">
        <f t="shared" si="3"/>
        <v>0.01964806537823218</v>
      </c>
      <c r="E109" s="39">
        <f t="shared" si="3"/>
        <v>0.04787298756187589</v>
      </c>
      <c r="F109" s="39">
        <f t="shared" si="3"/>
        <v>0.05735971193293043</v>
      </c>
      <c r="G109" s="39">
        <f t="shared" si="3"/>
        <v>0.6089366523446772</v>
      </c>
      <c r="H109" s="39">
        <f t="shared" si="3"/>
        <v>0.23618040132962903</v>
      </c>
    </row>
    <row r="110" ht="11.25">
      <c r="A110" s="35" t="s">
        <v>167</v>
      </c>
    </row>
    <row r="111" spans="1:6" ht="11.25">
      <c r="A111" s="35" t="s">
        <v>17</v>
      </c>
      <c r="B111" s="32" t="s">
        <v>66</v>
      </c>
      <c r="F111" s="50">
        <v>2440</v>
      </c>
    </row>
    <row r="112" spans="1:3" ht="11.25">
      <c r="A112" s="35" t="s">
        <v>18</v>
      </c>
      <c r="B112" s="32" t="s">
        <v>67</v>
      </c>
      <c r="C112" s="50">
        <v>371</v>
      </c>
    </row>
    <row r="113" spans="1:4" ht="11.25">
      <c r="A113" s="35" t="s">
        <v>19</v>
      </c>
      <c r="B113" s="32" t="s">
        <v>68</v>
      </c>
      <c r="D113" s="50">
        <v>3207</v>
      </c>
    </row>
    <row r="114" spans="1:6" ht="11.25">
      <c r="A114" s="35" t="s">
        <v>20</v>
      </c>
      <c r="B114" s="32" t="s">
        <v>66</v>
      </c>
      <c r="F114" s="50">
        <v>1258</v>
      </c>
    </row>
    <row r="115" spans="1:3" ht="11.25">
      <c r="A115" s="35" t="s">
        <v>21</v>
      </c>
      <c r="B115" s="32" t="s">
        <v>67</v>
      </c>
      <c r="C115" s="50">
        <v>25571</v>
      </c>
    </row>
    <row r="116" spans="1:4" ht="11.25">
      <c r="A116" s="35" t="s">
        <v>22</v>
      </c>
      <c r="B116" s="32" t="s">
        <v>68</v>
      </c>
      <c r="D116" s="50">
        <v>2716</v>
      </c>
    </row>
    <row r="117" spans="1:8" ht="11.25">
      <c r="A117" s="35" t="s">
        <v>72</v>
      </c>
      <c r="B117" s="32" t="s">
        <v>69</v>
      </c>
      <c r="H117" s="50">
        <v>2602</v>
      </c>
    </row>
    <row r="118" spans="1:7" ht="11.25">
      <c r="A118" s="35" t="s">
        <v>23</v>
      </c>
      <c r="B118" s="32" t="s">
        <v>70</v>
      </c>
      <c r="G118" s="50">
        <v>487</v>
      </c>
    </row>
    <row r="119" spans="1:7" ht="11.25">
      <c r="A119" s="35" t="s">
        <v>24</v>
      </c>
      <c r="B119" s="32" t="s">
        <v>70</v>
      </c>
      <c r="G119" s="50">
        <v>607</v>
      </c>
    </row>
    <row r="120" spans="1:6" ht="11.25">
      <c r="A120" s="35" t="s">
        <v>25</v>
      </c>
      <c r="B120" s="32" t="s">
        <v>66</v>
      </c>
      <c r="F120" s="50">
        <v>10967</v>
      </c>
    </row>
    <row r="121" spans="1:6" ht="11.25">
      <c r="A121" s="35" t="s">
        <v>26</v>
      </c>
      <c r="B121" s="32" t="s">
        <v>66</v>
      </c>
      <c r="F121" s="50">
        <v>4097</v>
      </c>
    </row>
    <row r="122" spans="1:3" ht="11.25">
      <c r="A122" s="35" t="s">
        <v>27</v>
      </c>
      <c r="B122" s="32" t="s">
        <v>67</v>
      </c>
      <c r="C122" s="50">
        <v>986</v>
      </c>
    </row>
    <row r="123" spans="1:3" ht="11.25">
      <c r="A123" s="35" t="s">
        <v>28</v>
      </c>
      <c r="B123" s="32" t="s">
        <v>67</v>
      </c>
      <c r="C123" s="50">
        <v>578</v>
      </c>
    </row>
    <row r="124" spans="1:5" ht="11.25">
      <c r="A124" s="35" t="s">
        <v>29</v>
      </c>
      <c r="B124" s="32" t="s">
        <v>71</v>
      </c>
      <c r="E124" s="50">
        <v>9669</v>
      </c>
    </row>
    <row r="125" spans="1:5" ht="11.25">
      <c r="A125" s="35" t="s">
        <v>30</v>
      </c>
      <c r="B125" s="32" t="s">
        <v>71</v>
      </c>
      <c r="E125" s="50">
        <v>3598</v>
      </c>
    </row>
    <row r="126" spans="1:5" ht="11.25">
      <c r="A126" s="35" t="s">
        <v>31</v>
      </c>
      <c r="B126" s="32" t="s">
        <v>71</v>
      </c>
      <c r="E126" s="50">
        <v>1683</v>
      </c>
    </row>
    <row r="127" spans="1:5" ht="11.25">
      <c r="A127" s="35" t="s">
        <v>32</v>
      </c>
      <c r="B127" s="32" t="s">
        <v>71</v>
      </c>
      <c r="E127" s="50">
        <v>1713</v>
      </c>
    </row>
    <row r="128" spans="1:7" ht="11.25">
      <c r="A128" s="35" t="s">
        <v>33</v>
      </c>
      <c r="B128" s="32" t="s">
        <v>70</v>
      </c>
      <c r="G128" s="50">
        <v>1910</v>
      </c>
    </row>
    <row r="129" spans="1:6" ht="11.25">
      <c r="A129" s="35" t="s">
        <v>34</v>
      </c>
      <c r="B129" s="32" t="s">
        <v>66</v>
      </c>
      <c r="F129" s="50">
        <v>2872</v>
      </c>
    </row>
    <row r="130" spans="1:8" ht="11.25">
      <c r="A130" s="35" t="s">
        <v>35</v>
      </c>
      <c r="B130" s="32" t="s">
        <v>69</v>
      </c>
      <c r="H130" s="50">
        <v>548</v>
      </c>
    </row>
    <row r="131" spans="1:7" ht="11.25">
      <c r="A131" s="35" t="s">
        <v>36</v>
      </c>
      <c r="B131" s="32" t="s">
        <v>70</v>
      </c>
      <c r="G131" s="50">
        <v>3888</v>
      </c>
    </row>
    <row r="132" spans="1:8" ht="11.25">
      <c r="A132" s="35" t="s">
        <v>37</v>
      </c>
      <c r="B132" s="32" t="s">
        <v>69</v>
      </c>
      <c r="H132" s="50">
        <v>5070</v>
      </c>
    </row>
    <row r="133" spans="1:5" ht="11.25">
      <c r="A133" s="35" t="s">
        <v>38</v>
      </c>
      <c r="B133" s="32" t="s">
        <v>71</v>
      </c>
      <c r="E133" s="50">
        <v>6556</v>
      </c>
    </row>
    <row r="134" spans="1:5" ht="11.25">
      <c r="A134" s="35" t="s">
        <v>39</v>
      </c>
      <c r="B134" s="32" t="s">
        <v>71</v>
      </c>
      <c r="E134" s="50">
        <v>3056</v>
      </c>
    </row>
    <row r="135" spans="1:6" ht="11.25">
      <c r="A135" s="35" t="s">
        <v>40</v>
      </c>
      <c r="B135" s="32" t="s">
        <v>66</v>
      </c>
      <c r="F135" s="50">
        <v>1211</v>
      </c>
    </row>
    <row r="136" spans="1:5" ht="11.25">
      <c r="A136" s="35" t="s">
        <v>41</v>
      </c>
      <c r="B136" s="32" t="s">
        <v>71</v>
      </c>
      <c r="E136" s="50">
        <v>3516</v>
      </c>
    </row>
    <row r="137" spans="1:3" ht="11.25">
      <c r="A137" s="35" t="s">
        <v>42</v>
      </c>
      <c r="B137" s="32" t="s">
        <v>67</v>
      </c>
      <c r="C137" s="50">
        <v>420</v>
      </c>
    </row>
    <row r="138" spans="1:5" ht="11.25">
      <c r="A138" s="35" t="s">
        <v>43</v>
      </c>
      <c r="B138" s="32" t="s">
        <v>71</v>
      </c>
      <c r="E138" s="50">
        <v>1044</v>
      </c>
    </row>
    <row r="139" spans="1:3" ht="11.25">
      <c r="A139" s="35" t="s">
        <v>44</v>
      </c>
      <c r="B139" s="32" t="s">
        <v>67</v>
      </c>
      <c r="C139" s="50">
        <v>1061</v>
      </c>
    </row>
    <row r="140" spans="1:8" ht="11.25">
      <c r="A140" s="35" t="s">
        <v>45</v>
      </c>
      <c r="B140" s="32" t="s">
        <v>69</v>
      </c>
      <c r="H140" s="50">
        <v>566</v>
      </c>
    </row>
    <row r="141" spans="1:8" ht="11.25">
      <c r="A141" s="35" t="s">
        <v>46</v>
      </c>
      <c r="B141" s="32" t="s">
        <v>69</v>
      </c>
      <c r="H141" s="50">
        <v>6910</v>
      </c>
    </row>
    <row r="142" spans="1:4" ht="11.25">
      <c r="A142" s="35" t="s">
        <v>47</v>
      </c>
      <c r="B142" s="32" t="s">
        <v>68</v>
      </c>
      <c r="D142" s="50">
        <v>1106</v>
      </c>
    </row>
    <row r="143" spans="1:8" ht="11.25">
      <c r="A143" s="35" t="s">
        <v>76</v>
      </c>
      <c r="B143" s="32" t="s">
        <v>69</v>
      </c>
      <c r="H143" s="50">
        <v>15164</v>
      </c>
    </row>
    <row r="144" spans="1:7" ht="11.25">
      <c r="A144" s="35" t="s">
        <v>48</v>
      </c>
      <c r="B144" s="32" t="s">
        <v>70</v>
      </c>
      <c r="G144" s="50">
        <v>3338</v>
      </c>
    </row>
    <row r="145" spans="1:5" ht="11.25">
      <c r="A145" s="35" t="s">
        <v>49</v>
      </c>
      <c r="B145" s="32" t="s">
        <v>71</v>
      </c>
      <c r="E145" s="50">
        <v>340</v>
      </c>
    </row>
    <row r="146" spans="1:5" ht="11.25">
      <c r="A146" s="35" t="s">
        <v>50</v>
      </c>
      <c r="B146" s="32" t="s">
        <v>71</v>
      </c>
      <c r="E146" s="50">
        <v>8039</v>
      </c>
    </row>
    <row r="147" spans="1:4" ht="11.25">
      <c r="A147" s="35" t="s">
        <v>51</v>
      </c>
      <c r="B147" s="32" t="s">
        <v>68</v>
      </c>
      <c r="D147" s="50">
        <v>2130</v>
      </c>
    </row>
    <row r="148" spans="1:3" ht="11.25">
      <c r="A148" s="35" t="s">
        <v>52</v>
      </c>
      <c r="B148" s="32" t="s">
        <v>67</v>
      </c>
      <c r="C148" s="50">
        <v>2003</v>
      </c>
    </row>
    <row r="149" spans="1:8" ht="11.25">
      <c r="A149" s="35" t="s">
        <v>53</v>
      </c>
      <c r="B149" s="32" t="s">
        <v>69</v>
      </c>
      <c r="H149" s="50">
        <v>8188</v>
      </c>
    </row>
    <row r="150" spans="1:8" ht="11.25">
      <c r="A150" s="35" t="s">
        <v>54</v>
      </c>
      <c r="B150" s="32" t="s">
        <v>69</v>
      </c>
      <c r="H150" s="50">
        <v>863</v>
      </c>
    </row>
    <row r="151" spans="1:6" ht="11.25">
      <c r="A151" s="35" t="s">
        <v>55</v>
      </c>
      <c r="B151" s="32" t="s">
        <v>66</v>
      </c>
      <c r="F151" s="50">
        <v>1905</v>
      </c>
    </row>
    <row r="152" spans="1:5" ht="11.25">
      <c r="A152" s="35" t="s">
        <v>56</v>
      </c>
      <c r="B152" s="32" t="s">
        <v>71</v>
      </c>
      <c r="E152" s="50">
        <v>348</v>
      </c>
    </row>
    <row r="153" spans="1:7" ht="11.25">
      <c r="A153" s="35" t="s">
        <v>57</v>
      </c>
      <c r="B153" s="32" t="s">
        <v>70</v>
      </c>
      <c r="G153" s="50">
        <v>2970</v>
      </c>
    </row>
    <row r="154" spans="1:4" ht="11.25">
      <c r="A154" s="35" t="s">
        <v>58</v>
      </c>
      <c r="B154" s="32" t="s">
        <v>68</v>
      </c>
      <c r="D154" s="50">
        <v>13635</v>
      </c>
    </row>
    <row r="155" spans="1:4" ht="11.25">
      <c r="A155" s="35" t="s">
        <v>59</v>
      </c>
      <c r="B155" s="32" t="s">
        <v>68</v>
      </c>
      <c r="D155" s="50">
        <v>1499</v>
      </c>
    </row>
    <row r="156" spans="1:8" ht="11.25">
      <c r="A156" s="35" t="s">
        <v>60</v>
      </c>
      <c r="B156" s="32" t="s">
        <v>69</v>
      </c>
      <c r="H156" s="50">
        <v>181</v>
      </c>
    </row>
    <row r="157" spans="1:7" ht="11.25">
      <c r="A157" s="35" t="s">
        <v>61</v>
      </c>
      <c r="B157" s="32" t="s">
        <v>70</v>
      </c>
      <c r="G157" s="50">
        <v>4293</v>
      </c>
    </row>
    <row r="158" spans="1:3" ht="11.25">
      <c r="A158" s="35" t="s">
        <v>62</v>
      </c>
      <c r="B158" s="32" t="s">
        <v>67</v>
      </c>
      <c r="C158" s="50">
        <v>3718</v>
      </c>
    </row>
    <row r="159" spans="1:7" ht="11.25">
      <c r="A159" s="35" t="s">
        <v>63</v>
      </c>
      <c r="B159" s="32" t="s">
        <v>70</v>
      </c>
      <c r="G159" s="50">
        <v>648</v>
      </c>
    </row>
    <row r="160" spans="1:5" ht="11.25">
      <c r="A160" s="35" t="s">
        <v>64</v>
      </c>
      <c r="B160" s="32" t="s">
        <v>71</v>
      </c>
      <c r="E160" s="50">
        <v>3212</v>
      </c>
    </row>
    <row r="161" spans="1:3" ht="11.25">
      <c r="A161" s="35" t="s">
        <v>65</v>
      </c>
      <c r="B161" s="32" t="s">
        <v>67</v>
      </c>
      <c r="C161" s="51">
        <v>295</v>
      </c>
    </row>
    <row r="162" spans="1:9" ht="12">
      <c r="A162" s="92" t="s">
        <v>94</v>
      </c>
      <c r="B162" s="92"/>
      <c r="C162" s="51">
        <f aca="true" t="shared" si="4" ref="C162:H162">SUM(C111:C161)</f>
        <v>35003</v>
      </c>
      <c r="D162" s="51">
        <f t="shared" si="4"/>
        <v>24293</v>
      </c>
      <c r="E162" s="51">
        <f t="shared" si="4"/>
        <v>42774</v>
      </c>
      <c r="F162" s="51">
        <f>SUM(F111:F161)</f>
        <v>24750</v>
      </c>
      <c r="G162" s="51">
        <f t="shared" si="4"/>
        <v>18141</v>
      </c>
      <c r="H162" s="51">
        <f t="shared" si="4"/>
        <v>40092</v>
      </c>
      <c r="I162" s="52">
        <f>SUM(C162:H162)</f>
        <v>185053</v>
      </c>
    </row>
    <row r="163" spans="1:8" ht="12">
      <c r="A163" s="92" t="s">
        <v>100</v>
      </c>
      <c r="B163" s="92"/>
      <c r="C163" s="39">
        <f aca="true" t="shared" si="5" ref="C163:H163">C162/$I162</f>
        <v>0.18915121613807936</v>
      </c>
      <c r="D163" s="39">
        <f t="shared" si="5"/>
        <v>0.13127590474080397</v>
      </c>
      <c r="E163" s="39">
        <f t="shared" si="5"/>
        <v>0.23114459100906226</v>
      </c>
      <c r="F163" s="39">
        <f t="shared" si="5"/>
        <v>0.133745467514712</v>
      </c>
      <c r="G163" s="39">
        <f t="shared" si="5"/>
        <v>0.0980313747953289</v>
      </c>
      <c r="H163" s="39">
        <f t="shared" si="5"/>
        <v>0.21665144580201348</v>
      </c>
    </row>
    <row r="164" ht="11.25">
      <c r="A164" s="35" t="s">
        <v>168</v>
      </c>
    </row>
    <row r="165" spans="1:6" ht="11.25">
      <c r="A165" s="35" t="s">
        <v>17</v>
      </c>
      <c r="B165" s="32" t="s">
        <v>66</v>
      </c>
      <c r="F165" s="50">
        <v>1601</v>
      </c>
    </row>
    <row r="166" spans="1:3" ht="11.25">
      <c r="A166" s="35" t="s">
        <v>18</v>
      </c>
      <c r="B166" s="32" t="s">
        <v>67</v>
      </c>
      <c r="C166" s="50">
        <v>179</v>
      </c>
    </row>
    <row r="167" spans="1:4" ht="11.25">
      <c r="A167" s="35" t="s">
        <v>19</v>
      </c>
      <c r="B167" s="32" t="s">
        <v>68</v>
      </c>
      <c r="D167" s="50">
        <v>458</v>
      </c>
    </row>
    <row r="168" spans="1:6" ht="11.25">
      <c r="A168" s="35" t="s">
        <v>20</v>
      </c>
      <c r="B168" s="32" t="s">
        <v>66</v>
      </c>
      <c r="F168" s="50">
        <v>1093</v>
      </c>
    </row>
    <row r="169" spans="1:3" ht="11.25">
      <c r="A169" s="35" t="s">
        <v>21</v>
      </c>
      <c r="B169" s="32" t="s">
        <v>67</v>
      </c>
      <c r="C169" s="50">
        <v>2189</v>
      </c>
    </row>
    <row r="170" spans="1:4" ht="11.25">
      <c r="A170" s="35" t="s">
        <v>22</v>
      </c>
      <c r="B170" s="32" t="s">
        <v>68</v>
      </c>
      <c r="D170" s="50">
        <v>579</v>
      </c>
    </row>
    <row r="171" spans="1:8" ht="11.25">
      <c r="A171" s="35" t="s">
        <v>72</v>
      </c>
      <c r="B171" s="32" t="s">
        <v>69</v>
      </c>
      <c r="H171" s="50">
        <v>686</v>
      </c>
    </row>
    <row r="172" spans="1:7" ht="11.25">
      <c r="A172" s="35" t="s">
        <v>23</v>
      </c>
      <c r="B172" s="32" t="s">
        <v>70</v>
      </c>
      <c r="G172" s="50">
        <v>180</v>
      </c>
    </row>
    <row r="173" spans="1:3" ht="11.25">
      <c r="A173" s="35" t="s">
        <v>24</v>
      </c>
      <c r="B173" s="32" t="s">
        <v>70</v>
      </c>
      <c r="C173" s="50">
        <v>0</v>
      </c>
    </row>
    <row r="174" spans="1:6" ht="11.25">
      <c r="A174" s="35" t="s">
        <v>25</v>
      </c>
      <c r="B174" s="32" t="s">
        <v>66</v>
      </c>
      <c r="F174" s="50">
        <v>1971</v>
      </c>
    </row>
    <row r="175" spans="1:6" ht="11.25">
      <c r="A175" s="35" t="s">
        <v>26</v>
      </c>
      <c r="B175" s="32" t="s">
        <v>66</v>
      </c>
      <c r="F175" s="50">
        <v>2381</v>
      </c>
    </row>
    <row r="176" spans="1:3" ht="11.25">
      <c r="A176" s="35" t="s">
        <v>27</v>
      </c>
      <c r="B176" s="32" t="s">
        <v>67</v>
      </c>
      <c r="C176" s="50">
        <v>122</v>
      </c>
    </row>
    <row r="177" spans="1:3" ht="11.25">
      <c r="A177" s="35" t="s">
        <v>28</v>
      </c>
      <c r="B177" s="32" t="s">
        <v>67</v>
      </c>
      <c r="C177" s="50">
        <v>429</v>
      </c>
    </row>
    <row r="178" spans="1:5" ht="11.25">
      <c r="A178" s="35" t="s">
        <v>29</v>
      </c>
      <c r="B178" s="32" t="s">
        <v>71</v>
      </c>
      <c r="E178" s="50">
        <v>1762</v>
      </c>
    </row>
    <row r="179" spans="1:5" ht="11.25">
      <c r="A179" s="35" t="s">
        <v>30</v>
      </c>
      <c r="B179" s="32" t="s">
        <v>71</v>
      </c>
      <c r="E179" s="50">
        <v>1946</v>
      </c>
    </row>
    <row r="180" spans="1:5" ht="11.25">
      <c r="A180" s="35" t="s">
        <v>31</v>
      </c>
      <c r="B180" s="32" t="s">
        <v>71</v>
      </c>
      <c r="E180" s="50">
        <v>1094</v>
      </c>
    </row>
    <row r="181" spans="1:5" ht="11.25">
      <c r="A181" s="35" t="s">
        <v>32</v>
      </c>
      <c r="B181" s="32" t="s">
        <v>71</v>
      </c>
      <c r="E181" s="50">
        <v>765</v>
      </c>
    </row>
    <row r="182" spans="1:7" ht="11.25">
      <c r="A182" s="35" t="s">
        <v>33</v>
      </c>
      <c r="B182" s="32" t="s">
        <v>70</v>
      </c>
      <c r="G182" s="50">
        <v>1775</v>
      </c>
    </row>
    <row r="183" spans="1:6" ht="11.25">
      <c r="A183" s="35" t="s">
        <v>34</v>
      </c>
      <c r="B183" s="32" t="s">
        <v>66</v>
      </c>
      <c r="F183" s="50">
        <v>1348</v>
      </c>
    </row>
    <row r="184" spans="1:8" ht="11.25">
      <c r="A184" s="35" t="s">
        <v>35</v>
      </c>
      <c r="B184" s="32" t="s">
        <v>69</v>
      </c>
      <c r="H184" s="50">
        <v>680</v>
      </c>
    </row>
    <row r="185" spans="1:7" ht="11.25">
      <c r="A185" s="35" t="s">
        <v>36</v>
      </c>
      <c r="B185" s="32" t="s">
        <v>70</v>
      </c>
      <c r="G185" s="50">
        <v>893</v>
      </c>
    </row>
    <row r="186" spans="1:8" ht="11.25">
      <c r="A186" s="35" t="s">
        <v>37</v>
      </c>
      <c r="B186" s="32" t="s">
        <v>69</v>
      </c>
      <c r="H186" s="50">
        <v>947</v>
      </c>
    </row>
    <row r="187" spans="1:5" ht="11.25">
      <c r="A187" s="35" t="s">
        <v>38</v>
      </c>
      <c r="B187" s="32" t="s">
        <v>71</v>
      </c>
      <c r="E187" s="50">
        <v>2739</v>
      </c>
    </row>
    <row r="188" spans="1:5" ht="11.25">
      <c r="A188" s="35" t="s">
        <v>39</v>
      </c>
      <c r="B188" s="32" t="s">
        <v>71</v>
      </c>
      <c r="E188" s="50">
        <v>1319</v>
      </c>
    </row>
    <row r="189" spans="1:6" ht="11.25">
      <c r="A189" s="35" t="s">
        <v>40</v>
      </c>
      <c r="B189" s="32" t="s">
        <v>66</v>
      </c>
      <c r="F189" s="50">
        <v>1362</v>
      </c>
    </row>
    <row r="190" spans="1:5" ht="11.25">
      <c r="A190" s="35" t="s">
        <v>41</v>
      </c>
      <c r="B190" s="32" t="s">
        <v>71</v>
      </c>
      <c r="E190" s="50">
        <v>1601</v>
      </c>
    </row>
    <row r="191" spans="1:3" ht="11.25">
      <c r="A191" s="35" t="s">
        <v>42</v>
      </c>
      <c r="B191" s="32" t="s">
        <v>67</v>
      </c>
      <c r="C191" s="50">
        <v>379</v>
      </c>
    </row>
    <row r="192" spans="1:5" ht="11.25">
      <c r="A192" s="35" t="s">
        <v>43</v>
      </c>
      <c r="B192" s="32" t="s">
        <v>71</v>
      </c>
      <c r="E192" s="50">
        <v>534</v>
      </c>
    </row>
    <row r="193" spans="1:3" ht="11.25">
      <c r="A193" s="35" t="s">
        <v>44</v>
      </c>
      <c r="B193" s="32" t="s">
        <v>67</v>
      </c>
      <c r="C193" s="50">
        <v>140</v>
      </c>
    </row>
    <row r="194" spans="1:8" ht="11.25">
      <c r="A194" s="35" t="s">
        <v>45</v>
      </c>
      <c r="B194" s="32" t="s">
        <v>69</v>
      </c>
      <c r="H194" s="50">
        <v>544</v>
      </c>
    </row>
    <row r="195" spans="1:8" ht="11.25">
      <c r="A195" s="35" t="s">
        <v>46</v>
      </c>
      <c r="B195" s="32" t="s">
        <v>69</v>
      </c>
      <c r="H195" s="50">
        <v>820</v>
      </c>
    </row>
    <row r="196" spans="1:4" ht="11.25">
      <c r="A196" s="35" t="s">
        <v>47</v>
      </c>
      <c r="B196" s="32" t="s">
        <v>68</v>
      </c>
      <c r="D196" s="50">
        <v>409</v>
      </c>
    </row>
    <row r="197" spans="1:8" ht="11.25">
      <c r="A197" s="35" t="s">
        <v>76</v>
      </c>
      <c r="B197" s="32" t="s">
        <v>69</v>
      </c>
      <c r="H197" s="50">
        <v>2826</v>
      </c>
    </row>
    <row r="198" spans="1:7" ht="11.25">
      <c r="A198" s="35" t="s">
        <v>48</v>
      </c>
      <c r="B198" s="32" t="s">
        <v>70</v>
      </c>
      <c r="G198" s="50">
        <v>3291</v>
      </c>
    </row>
    <row r="199" spans="1:5" ht="11.25">
      <c r="A199" s="35" t="s">
        <v>49</v>
      </c>
      <c r="B199" s="32" t="s">
        <v>71</v>
      </c>
      <c r="E199" s="50">
        <v>298</v>
      </c>
    </row>
    <row r="200" spans="1:5" ht="11.25">
      <c r="A200" s="35" t="s">
        <v>50</v>
      </c>
      <c r="B200" s="32" t="s">
        <v>71</v>
      </c>
      <c r="E200" s="50">
        <v>2808</v>
      </c>
    </row>
    <row r="201" spans="1:4" ht="11.25">
      <c r="A201" s="35" t="s">
        <v>51</v>
      </c>
      <c r="B201" s="32" t="s">
        <v>68</v>
      </c>
      <c r="D201" s="50">
        <v>1015</v>
      </c>
    </row>
    <row r="202" spans="1:3" ht="11.25">
      <c r="A202" s="35" t="s">
        <v>52</v>
      </c>
      <c r="B202" s="32" t="s">
        <v>67</v>
      </c>
      <c r="C202" s="50">
        <v>839</v>
      </c>
    </row>
    <row r="203" spans="1:8" ht="11.25">
      <c r="A203" s="35" t="s">
        <v>53</v>
      </c>
      <c r="B203" s="32" t="s">
        <v>69</v>
      </c>
      <c r="H203" s="50">
        <v>3693</v>
      </c>
    </row>
    <row r="204" spans="1:8" ht="11.25">
      <c r="A204" s="35" t="s">
        <v>54</v>
      </c>
      <c r="B204" s="32" t="s">
        <v>69</v>
      </c>
      <c r="H204" s="50">
        <v>140</v>
      </c>
    </row>
    <row r="205" spans="1:6" ht="11.25">
      <c r="A205" s="35" t="s">
        <v>55</v>
      </c>
      <c r="B205" s="32" t="s">
        <v>66</v>
      </c>
      <c r="F205" s="50">
        <v>1581</v>
      </c>
    </row>
    <row r="206" spans="1:5" ht="11.25">
      <c r="A206" s="35" t="s">
        <v>56</v>
      </c>
      <c r="B206" s="32" t="s">
        <v>71</v>
      </c>
      <c r="E206" s="50">
        <v>348</v>
      </c>
    </row>
    <row r="207" spans="1:7" ht="11.25">
      <c r="A207" s="35" t="s">
        <v>57</v>
      </c>
      <c r="B207" s="32" t="s">
        <v>70</v>
      </c>
      <c r="G207" s="50">
        <v>1907</v>
      </c>
    </row>
    <row r="208" spans="1:4" ht="11.25">
      <c r="A208" s="35" t="s">
        <v>58</v>
      </c>
      <c r="B208" s="32" t="s">
        <v>68</v>
      </c>
      <c r="D208" s="50">
        <v>3352</v>
      </c>
    </row>
    <row r="209" spans="1:4" ht="11.25">
      <c r="A209" s="35" t="s">
        <v>59</v>
      </c>
      <c r="B209" s="32" t="s">
        <v>68</v>
      </c>
      <c r="D209" s="50">
        <v>224</v>
      </c>
    </row>
    <row r="210" spans="1:8" ht="11.25">
      <c r="A210" s="35" t="s">
        <v>60</v>
      </c>
      <c r="B210" s="32" t="s">
        <v>69</v>
      </c>
      <c r="H210" s="50">
        <v>382</v>
      </c>
    </row>
    <row r="211" spans="1:7" ht="11.25">
      <c r="A211" s="35" t="s">
        <v>61</v>
      </c>
      <c r="B211" s="32" t="s">
        <v>70</v>
      </c>
      <c r="G211" s="50">
        <v>1894</v>
      </c>
    </row>
    <row r="212" spans="1:3" ht="11.25">
      <c r="A212" s="35" t="s">
        <v>62</v>
      </c>
      <c r="B212" s="32" t="s">
        <v>67</v>
      </c>
      <c r="C212" s="50">
        <v>1149</v>
      </c>
    </row>
    <row r="213" spans="1:7" ht="11.25">
      <c r="A213" s="35" t="s">
        <v>63</v>
      </c>
      <c r="B213" s="32" t="s">
        <v>70</v>
      </c>
      <c r="G213" s="50">
        <v>1145</v>
      </c>
    </row>
    <row r="214" spans="1:5" ht="11.25">
      <c r="A214" s="35" t="s">
        <v>64</v>
      </c>
      <c r="B214" s="32" t="s">
        <v>71</v>
      </c>
      <c r="E214" s="50">
        <v>1680</v>
      </c>
    </row>
    <row r="215" spans="1:3" ht="11.25">
      <c r="A215" s="35" t="s">
        <v>65</v>
      </c>
      <c r="B215" s="32" t="s">
        <v>67</v>
      </c>
      <c r="C215" s="51">
        <v>159</v>
      </c>
    </row>
    <row r="216" spans="1:9" ht="12">
      <c r="A216" s="92" t="s">
        <v>94</v>
      </c>
      <c r="B216" s="92"/>
      <c r="C216" s="51">
        <f aca="true" t="shared" si="6" ref="C216:H216">SUM(C165:C215)</f>
        <v>5585</v>
      </c>
      <c r="D216" s="51">
        <f t="shared" si="6"/>
        <v>6037</v>
      </c>
      <c r="E216" s="51">
        <f t="shared" si="6"/>
        <v>16894</v>
      </c>
      <c r="F216" s="51">
        <f>SUM(F165:F215)</f>
        <v>11337</v>
      </c>
      <c r="G216" s="51">
        <f t="shared" si="6"/>
        <v>11085</v>
      </c>
      <c r="H216" s="51">
        <f t="shared" si="6"/>
        <v>10718</v>
      </c>
      <c r="I216" s="52">
        <f>SUM(C216:H216)</f>
        <v>61656</v>
      </c>
    </row>
    <row r="217" spans="1:8" ht="12">
      <c r="A217" s="92" t="s">
        <v>100</v>
      </c>
      <c r="B217" s="92"/>
      <c r="C217" s="39">
        <f aca="true" t="shared" si="7" ref="C217:H217">C216/$I216</f>
        <v>0.09058323601920332</v>
      </c>
      <c r="D217" s="39">
        <f t="shared" si="7"/>
        <v>0.09791423381341638</v>
      </c>
      <c r="E217" s="39">
        <f t="shared" si="7"/>
        <v>0.27400415206954715</v>
      </c>
      <c r="F217" s="39">
        <f t="shared" si="7"/>
        <v>0.183875048657065</v>
      </c>
      <c r="G217" s="39">
        <f t="shared" si="7"/>
        <v>0.17978785519657453</v>
      </c>
      <c r="H217" s="39">
        <f t="shared" si="7"/>
        <v>0.1738354742441936</v>
      </c>
    </row>
    <row r="218" ht="11.25">
      <c r="A218" s="35" t="s">
        <v>169</v>
      </c>
    </row>
    <row r="219" spans="1:6" ht="11.25">
      <c r="A219" s="35" t="s">
        <v>17</v>
      </c>
      <c r="B219" s="32" t="s">
        <v>66</v>
      </c>
      <c r="F219" s="50">
        <v>18</v>
      </c>
    </row>
    <row r="220" spans="1:3" ht="11.25">
      <c r="A220" s="35" t="s">
        <v>18</v>
      </c>
      <c r="B220" s="32" t="s">
        <v>67</v>
      </c>
      <c r="C220" s="50">
        <v>93</v>
      </c>
    </row>
    <row r="221" spans="1:4" ht="11.25">
      <c r="A221" s="35" t="s">
        <v>19</v>
      </c>
      <c r="B221" s="32" t="s">
        <v>68</v>
      </c>
      <c r="D221" s="50">
        <v>262</v>
      </c>
    </row>
    <row r="222" spans="1:6" ht="11.25">
      <c r="A222" s="35" t="s">
        <v>20</v>
      </c>
      <c r="B222" s="32" t="s">
        <v>66</v>
      </c>
      <c r="F222" s="50">
        <v>15</v>
      </c>
    </row>
    <row r="223" spans="1:3" ht="11.25">
      <c r="A223" s="35" t="s">
        <v>21</v>
      </c>
      <c r="B223" s="32" t="s">
        <v>67</v>
      </c>
      <c r="C223" s="50">
        <v>292</v>
      </c>
    </row>
    <row r="224" spans="1:4" ht="11.25">
      <c r="A224" s="35" t="s">
        <v>22</v>
      </c>
      <c r="B224" s="32" t="s">
        <v>68</v>
      </c>
      <c r="D224" s="50">
        <v>41</v>
      </c>
    </row>
    <row r="225" spans="1:8" ht="11.25">
      <c r="A225" s="35" t="s">
        <v>72</v>
      </c>
      <c r="B225" s="32" t="s">
        <v>69</v>
      </c>
      <c r="H225" s="50">
        <v>8</v>
      </c>
    </row>
    <row r="226" spans="1:7" ht="11.25">
      <c r="A226" s="35" t="s">
        <v>23</v>
      </c>
      <c r="B226" s="32" t="s">
        <v>70</v>
      </c>
      <c r="G226" s="50">
        <v>2</v>
      </c>
    </row>
    <row r="227" spans="1:7" ht="11.25">
      <c r="A227" s="35" t="s">
        <v>24</v>
      </c>
      <c r="B227" s="32" t="s">
        <v>70</v>
      </c>
      <c r="G227" s="50">
        <v>0</v>
      </c>
    </row>
    <row r="228" spans="1:6" ht="11.25">
      <c r="A228" s="35" t="s">
        <v>25</v>
      </c>
      <c r="B228" s="32" t="s">
        <v>66</v>
      </c>
      <c r="F228" s="50">
        <v>51</v>
      </c>
    </row>
    <row r="229" spans="1:6" ht="11.25">
      <c r="A229" s="35" t="s">
        <v>26</v>
      </c>
      <c r="B229" s="32" t="s">
        <v>66</v>
      </c>
      <c r="F229" s="50">
        <v>17</v>
      </c>
    </row>
    <row r="230" spans="1:3" ht="11.25">
      <c r="A230" s="35" t="s">
        <v>27</v>
      </c>
      <c r="B230" s="32" t="s">
        <v>67</v>
      </c>
      <c r="C230" s="50">
        <v>6</v>
      </c>
    </row>
    <row r="231" spans="1:3" ht="11.25">
      <c r="A231" s="35" t="s">
        <v>28</v>
      </c>
      <c r="B231" s="32" t="s">
        <v>67</v>
      </c>
      <c r="C231" s="50">
        <v>21</v>
      </c>
    </row>
    <row r="232" spans="1:5" ht="11.25">
      <c r="A232" s="35" t="s">
        <v>29</v>
      </c>
      <c r="B232" s="32" t="s">
        <v>71</v>
      </c>
      <c r="E232" s="50">
        <v>26</v>
      </c>
    </row>
    <row r="233" spans="1:5" ht="11.25">
      <c r="A233" s="35" t="s">
        <v>30</v>
      </c>
      <c r="B233" s="32" t="s">
        <v>71</v>
      </c>
      <c r="E233" s="50">
        <v>16</v>
      </c>
    </row>
    <row r="234" spans="1:5" ht="11.25">
      <c r="A234" s="35" t="s">
        <v>31</v>
      </c>
      <c r="B234" s="32" t="s">
        <v>71</v>
      </c>
      <c r="E234" s="50">
        <v>9</v>
      </c>
    </row>
    <row r="235" spans="1:5" ht="11.25">
      <c r="A235" s="35" t="s">
        <v>32</v>
      </c>
      <c r="B235" s="32" t="s">
        <v>71</v>
      </c>
      <c r="E235" s="50">
        <v>27</v>
      </c>
    </row>
    <row r="236" spans="1:7" ht="11.25">
      <c r="A236" s="35" t="s">
        <v>33</v>
      </c>
      <c r="B236" s="32" t="s">
        <v>70</v>
      </c>
      <c r="G236" s="50">
        <v>6</v>
      </c>
    </row>
    <row r="237" spans="1:6" ht="11.25">
      <c r="A237" s="35" t="s">
        <v>34</v>
      </c>
      <c r="B237" s="32" t="s">
        <v>66</v>
      </c>
      <c r="F237" s="50">
        <v>20</v>
      </c>
    </row>
    <row r="238" spans="1:8" ht="11.25">
      <c r="A238" s="35" t="s">
        <v>35</v>
      </c>
      <c r="B238" s="32" t="s">
        <v>69</v>
      </c>
      <c r="H238" s="50">
        <v>6</v>
      </c>
    </row>
    <row r="239" spans="1:7" ht="11.25">
      <c r="A239" s="35" t="s">
        <v>36</v>
      </c>
      <c r="B239" s="32" t="s">
        <v>70</v>
      </c>
      <c r="G239" s="50">
        <v>16</v>
      </c>
    </row>
    <row r="240" spans="1:8" ht="11.25">
      <c r="A240" s="35" t="s">
        <v>37</v>
      </c>
      <c r="B240" s="32" t="s">
        <v>69</v>
      </c>
      <c r="H240" s="50">
        <v>14</v>
      </c>
    </row>
    <row r="241" spans="1:5" ht="11.25">
      <c r="A241" s="35" t="s">
        <v>38</v>
      </c>
      <c r="B241" s="32" t="s">
        <v>71</v>
      </c>
      <c r="E241" s="50">
        <v>61</v>
      </c>
    </row>
    <row r="242" spans="1:5" ht="11.25">
      <c r="A242" s="35" t="s">
        <v>39</v>
      </c>
      <c r="B242" s="32" t="s">
        <v>71</v>
      </c>
      <c r="E242" s="50">
        <v>64</v>
      </c>
    </row>
    <row r="243" spans="1:6" ht="11.25">
      <c r="A243" s="35" t="s">
        <v>40</v>
      </c>
      <c r="B243" s="32" t="s">
        <v>66</v>
      </c>
      <c r="F243" s="50">
        <v>8</v>
      </c>
    </row>
    <row r="244" spans="1:5" ht="11.25">
      <c r="A244" s="35" t="s">
        <v>41</v>
      </c>
      <c r="B244" s="32" t="s">
        <v>71</v>
      </c>
      <c r="E244" s="50">
        <v>24</v>
      </c>
    </row>
    <row r="245" spans="1:3" ht="11.25">
      <c r="A245" s="35" t="s">
        <v>42</v>
      </c>
      <c r="B245" s="32" t="s">
        <v>67</v>
      </c>
      <c r="C245" s="50">
        <v>61</v>
      </c>
    </row>
    <row r="246" spans="1:5" ht="11.25">
      <c r="A246" s="35" t="s">
        <v>43</v>
      </c>
      <c r="B246" s="32" t="s">
        <v>71</v>
      </c>
      <c r="E246" s="50">
        <v>16</v>
      </c>
    </row>
    <row r="247" spans="1:3" ht="11.25">
      <c r="A247" s="35" t="s">
        <v>44</v>
      </c>
      <c r="B247" s="32" t="s">
        <v>67</v>
      </c>
      <c r="C247" s="50">
        <v>31</v>
      </c>
    </row>
    <row r="248" spans="1:8" ht="11.25">
      <c r="A248" s="35" t="s">
        <v>45</v>
      </c>
      <c r="B248" s="32" t="s">
        <v>69</v>
      </c>
      <c r="H248" s="50">
        <v>2</v>
      </c>
    </row>
    <row r="249" spans="1:8" ht="11.25">
      <c r="A249" s="35" t="s">
        <v>46</v>
      </c>
      <c r="B249" s="32" t="s">
        <v>69</v>
      </c>
      <c r="H249" s="50">
        <v>20</v>
      </c>
    </row>
    <row r="250" spans="1:4" ht="11.25">
      <c r="A250" s="35" t="s">
        <v>47</v>
      </c>
      <c r="B250" s="32" t="s">
        <v>68</v>
      </c>
      <c r="D250" s="50">
        <v>169</v>
      </c>
    </row>
    <row r="251" spans="1:8" ht="11.25">
      <c r="A251" s="35" t="s">
        <v>76</v>
      </c>
      <c r="B251" s="32" t="s">
        <v>69</v>
      </c>
      <c r="H251" s="50">
        <v>73</v>
      </c>
    </row>
    <row r="252" spans="1:7" ht="11.25">
      <c r="A252" s="35" t="s">
        <v>48</v>
      </c>
      <c r="B252" s="32" t="s">
        <v>70</v>
      </c>
      <c r="G252" s="50">
        <v>94</v>
      </c>
    </row>
    <row r="253" spans="1:5" ht="11.25">
      <c r="A253" s="35" t="s">
        <v>49</v>
      </c>
      <c r="B253" s="32" t="s">
        <v>71</v>
      </c>
      <c r="E253" s="50">
        <v>32</v>
      </c>
    </row>
    <row r="254" spans="1:5" ht="11.25">
      <c r="A254" s="35" t="s">
        <v>50</v>
      </c>
      <c r="B254" s="32" t="s">
        <v>71</v>
      </c>
      <c r="E254" s="50">
        <v>22</v>
      </c>
    </row>
    <row r="255" spans="1:4" ht="11.25">
      <c r="A255" s="35" t="s">
        <v>51</v>
      </c>
      <c r="B255" s="32" t="s">
        <v>68</v>
      </c>
      <c r="D255" s="50">
        <v>281</v>
      </c>
    </row>
    <row r="256" spans="1:3" ht="11.25">
      <c r="A256" s="35" t="s">
        <v>52</v>
      </c>
      <c r="B256" s="32" t="s">
        <v>67</v>
      </c>
      <c r="C256" s="50">
        <v>51</v>
      </c>
    </row>
    <row r="257" spans="1:8" ht="11.25">
      <c r="A257" s="35" t="s">
        <v>53</v>
      </c>
      <c r="B257" s="32" t="s">
        <v>69</v>
      </c>
      <c r="H257" s="50">
        <v>18</v>
      </c>
    </row>
    <row r="258" spans="1:8" ht="11.25">
      <c r="A258" s="35" t="s">
        <v>54</v>
      </c>
      <c r="B258" s="32" t="s">
        <v>69</v>
      </c>
      <c r="H258" s="50">
        <v>4</v>
      </c>
    </row>
    <row r="259" spans="1:6" ht="11.25">
      <c r="A259" s="35" t="s">
        <v>55</v>
      </c>
      <c r="B259" s="32" t="s">
        <v>66</v>
      </c>
      <c r="F259" s="50">
        <v>8</v>
      </c>
    </row>
    <row r="260" spans="1:5" ht="11.25">
      <c r="A260" s="35" t="s">
        <v>56</v>
      </c>
      <c r="B260" s="32" t="s">
        <v>71</v>
      </c>
      <c r="E260" s="50">
        <v>60</v>
      </c>
    </row>
    <row r="261" spans="1:7" ht="11.25">
      <c r="A261" s="35" t="s">
        <v>57</v>
      </c>
      <c r="B261" s="32" t="s">
        <v>70</v>
      </c>
      <c r="G261" s="50">
        <v>12</v>
      </c>
    </row>
    <row r="262" spans="1:4" ht="11.25">
      <c r="A262" s="35" t="s">
        <v>58</v>
      </c>
      <c r="B262" s="32" t="s">
        <v>68</v>
      </c>
      <c r="D262" s="50">
        <v>95</v>
      </c>
    </row>
    <row r="263" spans="1:4" ht="11.25">
      <c r="A263" s="35" t="s">
        <v>59</v>
      </c>
      <c r="B263" s="32" t="s">
        <v>68</v>
      </c>
      <c r="D263" s="50">
        <v>37</v>
      </c>
    </row>
    <row r="264" spans="1:8" ht="11.25">
      <c r="A264" s="35" t="s">
        <v>60</v>
      </c>
      <c r="B264" s="32" t="s">
        <v>69</v>
      </c>
      <c r="H264" s="50">
        <v>2</v>
      </c>
    </row>
    <row r="265" spans="1:7" ht="11.25">
      <c r="A265" s="35" t="s">
        <v>61</v>
      </c>
      <c r="B265" s="32" t="s">
        <v>70</v>
      </c>
      <c r="G265" s="50">
        <v>19</v>
      </c>
    </row>
    <row r="266" spans="1:3" ht="11.25">
      <c r="A266" s="35" t="s">
        <v>62</v>
      </c>
      <c r="B266" s="32" t="s">
        <v>67</v>
      </c>
      <c r="C266" s="50">
        <v>107</v>
      </c>
    </row>
    <row r="267" spans="1:7" ht="11.25">
      <c r="A267" s="35" t="s">
        <v>63</v>
      </c>
      <c r="B267" s="32" t="s">
        <v>70</v>
      </c>
      <c r="G267" s="50">
        <v>2</v>
      </c>
    </row>
    <row r="268" spans="1:5" ht="11.25">
      <c r="A268" s="35" t="s">
        <v>64</v>
      </c>
      <c r="B268" s="32" t="s">
        <v>71</v>
      </c>
      <c r="E268" s="50">
        <v>49</v>
      </c>
    </row>
    <row r="269" spans="1:3" ht="11.25">
      <c r="A269" s="35" t="s">
        <v>65</v>
      </c>
      <c r="B269" s="32" t="s">
        <v>67</v>
      </c>
      <c r="C269" s="36">
        <v>13</v>
      </c>
    </row>
    <row r="270" spans="1:9" ht="12">
      <c r="A270" s="92" t="s">
        <v>94</v>
      </c>
      <c r="B270" s="92"/>
      <c r="C270" s="51">
        <f aca="true" t="shared" si="8" ref="C270:H270">SUM(C219:C269)</f>
        <v>675</v>
      </c>
      <c r="D270" s="51">
        <f t="shared" si="8"/>
        <v>885</v>
      </c>
      <c r="E270" s="51">
        <f t="shared" si="8"/>
        <v>406</v>
      </c>
      <c r="F270" s="51">
        <f>SUM(F219:F269)</f>
        <v>137</v>
      </c>
      <c r="G270" s="51">
        <f t="shared" si="8"/>
        <v>151</v>
      </c>
      <c r="H270" s="51">
        <f t="shared" si="8"/>
        <v>147</v>
      </c>
      <c r="I270" s="52">
        <f>SUM(C270:H270)</f>
        <v>2401</v>
      </c>
    </row>
    <row r="271" spans="1:8" ht="12">
      <c r="A271" s="92" t="s">
        <v>100</v>
      </c>
      <c r="B271" s="92"/>
      <c r="C271" s="39">
        <f aca="true" t="shared" si="9" ref="C271:H271">C270/$I270</f>
        <v>0.2811328613077884</v>
      </c>
      <c r="D271" s="39">
        <f t="shared" si="9"/>
        <v>0.3685964181591004</v>
      </c>
      <c r="E271" s="39">
        <f t="shared" si="9"/>
        <v>0.16909620991253643</v>
      </c>
      <c r="F271" s="39">
        <f t="shared" si="9"/>
        <v>0.05705955851728446</v>
      </c>
      <c r="G271" s="39">
        <f t="shared" si="9"/>
        <v>0.06289046230737193</v>
      </c>
      <c r="H271" s="39">
        <f t="shared" si="9"/>
        <v>0.061224489795918366</v>
      </c>
    </row>
    <row r="272" ht="11.25">
      <c r="A272" s="35" t="s">
        <v>170</v>
      </c>
    </row>
    <row r="273" spans="1:6" ht="11.25">
      <c r="A273" s="35" t="s">
        <v>17</v>
      </c>
      <c r="B273" s="32" t="s">
        <v>66</v>
      </c>
      <c r="F273" s="52">
        <v>665</v>
      </c>
    </row>
    <row r="274" spans="1:3" ht="11.25">
      <c r="A274" s="35" t="s">
        <v>18</v>
      </c>
      <c r="B274" s="32" t="s">
        <v>67</v>
      </c>
      <c r="C274" s="52">
        <v>56</v>
      </c>
    </row>
    <row r="275" spans="1:4" ht="11.25">
      <c r="A275" s="35" t="s">
        <v>19</v>
      </c>
      <c r="B275" s="32" t="s">
        <v>68</v>
      </c>
      <c r="D275" s="52">
        <v>797</v>
      </c>
    </row>
    <row r="276" spans="1:6" ht="11.25">
      <c r="A276" s="35" t="s">
        <v>20</v>
      </c>
      <c r="B276" s="32" t="s">
        <v>66</v>
      </c>
      <c r="F276" s="52">
        <v>515</v>
      </c>
    </row>
    <row r="277" spans="1:3" ht="11.25">
      <c r="A277" s="35" t="s">
        <v>21</v>
      </c>
      <c r="B277" s="32" t="s">
        <v>67</v>
      </c>
      <c r="C277" s="52">
        <v>5459</v>
      </c>
    </row>
    <row r="278" spans="1:4" ht="11.25">
      <c r="A278" s="35" t="s">
        <v>22</v>
      </c>
      <c r="B278" s="32" t="s">
        <v>68</v>
      </c>
      <c r="D278" s="52">
        <v>320</v>
      </c>
    </row>
    <row r="279" spans="1:8" ht="11.25">
      <c r="A279" s="35" t="s">
        <v>72</v>
      </c>
      <c r="B279" s="32" t="s">
        <v>69</v>
      </c>
      <c r="H279" s="52">
        <v>282</v>
      </c>
    </row>
    <row r="280" spans="1:7" ht="11.25">
      <c r="A280" s="35" t="s">
        <v>23</v>
      </c>
      <c r="B280" s="32" t="s">
        <v>70</v>
      </c>
      <c r="G280" s="52">
        <v>72</v>
      </c>
    </row>
    <row r="281" spans="1:7" ht="11.25">
      <c r="A281" s="35" t="s">
        <v>24</v>
      </c>
      <c r="B281" s="32" t="s">
        <v>70</v>
      </c>
      <c r="G281" s="52">
        <v>113</v>
      </c>
    </row>
    <row r="282" spans="1:6" ht="11.25">
      <c r="A282" s="35" t="s">
        <v>25</v>
      </c>
      <c r="B282" s="32" t="s">
        <v>66</v>
      </c>
      <c r="F282" s="52">
        <v>2056</v>
      </c>
    </row>
    <row r="283" spans="1:6" ht="11.25">
      <c r="A283" s="35" t="s">
        <v>26</v>
      </c>
      <c r="B283" s="32" t="s">
        <v>66</v>
      </c>
      <c r="F283" s="52">
        <v>109</v>
      </c>
    </row>
    <row r="284" spans="1:3" ht="11.25">
      <c r="A284" s="35" t="s">
        <v>27</v>
      </c>
      <c r="B284" s="32" t="s">
        <v>67</v>
      </c>
      <c r="C284" s="52">
        <v>164</v>
      </c>
    </row>
    <row r="285" spans="1:3" ht="11.25">
      <c r="A285" s="35" t="s">
        <v>28</v>
      </c>
      <c r="B285" s="32" t="s">
        <v>67</v>
      </c>
      <c r="C285" s="52">
        <v>183</v>
      </c>
    </row>
    <row r="286" spans="1:5" ht="11.25">
      <c r="A286" s="35" t="s">
        <v>29</v>
      </c>
      <c r="B286" s="32" t="s">
        <v>71</v>
      </c>
      <c r="E286" s="52">
        <v>1349</v>
      </c>
    </row>
    <row r="287" spans="1:5" ht="11.25">
      <c r="A287" s="35" t="s">
        <v>30</v>
      </c>
      <c r="B287" s="32" t="s">
        <v>71</v>
      </c>
      <c r="E287" s="52">
        <v>515</v>
      </c>
    </row>
    <row r="288" spans="1:5" ht="11.25">
      <c r="A288" s="35" t="s">
        <v>31</v>
      </c>
      <c r="B288" s="32" t="s">
        <v>71</v>
      </c>
      <c r="E288" s="52">
        <v>270</v>
      </c>
    </row>
    <row r="289" spans="1:5" ht="11.25">
      <c r="A289" s="35" t="s">
        <v>32</v>
      </c>
      <c r="B289" s="32" t="s">
        <v>71</v>
      </c>
      <c r="E289" s="52">
        <v>250</v>
      </c>
    </row>
    <row r="290" spans="1:7" ht="11.25">
      <c r="A290" s="35" t="s">
        <v>33</v>
      </c>
      <c r="B290" s="32" t="s">
        <v>70</v>
      </c>
      <c r="G290" s="52">
        <v>623</v>
      </c>
    </row>
    <row r="291" spans="1:6" ht="11.25">
      <c r="A291" s="35" t="s">
        <v>34</v>
      </c>
      <c r="B291" s="32" t="s">
        <v>66</v>
      </c>
      <c r="F291" s="52">
        <v>691</v>
      </c>
    </row>
    <row r="292" spans="1:8" ht="11.25">
      <c r="A292" s="35" t="s">
        <v>35</v>
      </c>
      <c r="B292" s="32" t="s">
        <v>69</v>
      </c>
      <c r="H292" s="52">
        <v>124</v>
      </c>
    </row>
    <row r="293" spans="1:7" ht="11.25">
      <c r="A293" s="35" t="s">
        <v>36</v>
      </c>
      <c r="B293" s="32" t="s">
        <v>70</v>
      </c>
      <c r="G293" s="52">
        <v>422</v>
      </c>
    </row>
    <row r="294" spans="1:8" ht="11.25">
      <c r="A294" s="35" t="s">
        <v>37</v>
      </c>
      <c r="B294" s="32" t="s">
        <v>69</v>
      </c>
      <c r="H294" s="52">
        <v>732</v>
      </c>
    </row>
    <row r="295" spans="1:5" ht="11.25">
      <c r="A295" s="35" t="s">
        <v>38</v>
      </c>
      <c r="B295" s="32" t="s">
        <v>71</v>
      </c>
      <c r="E295" s="52">
        <v>1006</v>
      </c>
    </row>
    <row r="296" spans="1:5" ht="11.25">
      <c r="A296" s="35" t="s">
        <v>39</v>
      </c>
      <c r="B296" s="32" t="s">
        <v>71</v>
      </c>
      <c r="E296" s="52">
        <v>457</v>
      </c>
    </row>
    <row r="297" spans="1:6" ht="11.25">
      <c r="A297" s="35" t="s">
        <v>40</v>
      </c>
      <c r="B297" s="32" t="s">
        <v>66</v>
      </c>
      <c r="F297" s="52">
        <v>455</v>
      </c>
    </row>
    <row r="298" spans="1:5" ht="11.25">
      <c r="A298" s="35" t="s">
        <v>41</v>
      </c>
      <c r="B298" s="32" t="s">
        <v>71</v>
      </c>
      <c r="E298" s="52">
        <v>627</v>
      </c>
    </row>
    <row r="299" spans="1:3" ht="11.25">
      <c r="A299" s="35" t="s">
        <v>42</v>
      </c>
      <c r="B299" s="32" t="s">
        <v>67</v>
      </c>
      <c r="C299" s="52">
        <v>139</v>
      </c>
    </row>
    <row r="300" spans="1:5" ht="11.25">
      <c r="A300" s="35" t="s">
        <v>43</v>
      </c>
      <c r="B300" s="32" t="s">
        <v>71</v>
      </c>
      <c r="E300" s="52">
        <v>163</v>
      </c>
    </row>
    <row r="301" spans="1:3" ht="11.25">
      <c r="A301" s="35" t="s">
        <v>44</v>
      </c>
      <c r="B301" s="32" t="s">
        <v>67</v>
      </c>
      <c r="C301" s="52">
        <v>190</v>
      </c>
    </row>
    <row r="302" spans="1:8" ht="11.25">
      <c r="A302" s="35" t="s">
        <v>45</v>
      </c>
      <c r="B302" s="32" t="s">
        <v>69</v>
      </c>
      <c r="H302" s="52">
        <v>109</v>
      </c>
    </row>
    <row r="303" spans="1:8" ht="11.25">
      <c r="A303" s="35" t="s">
        <v>46</v>
      </c>
      <c r="B303" s="32" t="s">
        <v>69</v>
      </c>
      <c r="H303" s="52">
        <v>737</v>
      </c>
    </row>
    <row r="304" spans="1:4" ht="11.25">
      <c r="A304" s="35" t="s">
        <v>47</v>
      </c>
      <c r="B304" s="32" t="s">
        <v>68</v>
      </c>
      <c r="D304" s="52">
        <v>387</v>
      </c>
    </row>
    <row r="305" spans="1:8" ht="11.25">
      <c r="A305" s="35" t="s">
        <v>76</v>
      </c>
      <c r="B305" s="32" t="s">
        <v>69</v>
      </c>
      <c r="H305" s="52">
        <v>2979</v>
      </c>
    </row>
    <row r="306" spans="1:7" ht="11.25">
      <c r="A306" s="35" t="s">
        <v>48</v>
      </c>
      <c r="B306" s="32" t="s">
        <v>70</v>
      </c>
      <c r="G306" s="52">
        <v>839</v>
      </c>
    </row>
    <row r="307" spans="1:5" ht="11.25">
      <c r="A307" s="35" t="s">
        <v>49</v>
      </c>
      <c r="B307" s="32" t="s">
        <v>71</v>
      </c>
      <c r="E307" s="52">
        <v>87</v>
      </c>
    </row>
    <row r="308" spans="1:5" ht="11.25">
      <c r="A308" s="35" t="s">
        <v>50</v>
      </c>
      <c r="B308" s="32" t="s">
        <v>71</v>
      </c>
      <c r="E308" s="52">
        <v>1231</v>
      </c>
    </row>
    <row r="309" spans="1:4" ht="11.25">
      <c r="A309" s="35" t="s">
        <v>51</v>
      </c>
      <c r="B309" s="32" t="s">
        <v>68</v>
      </c>
      <c r="D309" s="52">
        <v>456</v>
      </c>
    </row>
    <row r="310" spans="1:3" ht="11.25">
      <c r="A310" s="35" t="s">
        <v>52</v>
      </c>
      <c r="B310" s="32" t="s">
        <v>67</v>
      </c>
      <c r="C310" s="52">
        <v>382</v>
      </c>
    </row>
    <row r="311" spans="1:8" ht="11.25">
      <c r="A311" s="35" t="s">
        <v>53</v>
      </c>
      <c r="B311" s="32" t="s">
        <v>69</v>
      </c>
      <c r="H311" s="52">
        <v>1337</v>
      </c>
    </row>
    <row r="312" spans="1:8" ht="11.25">
      <c r="A312" s="35" t="s">
        <v>54</v>
      </c>
      <c r="B312" s="32" t="s">
        <v>69</v>
      </c>
      <c r="H312" s="52">
        <v>120</v>
      </c>
    </row>
    <row r="313" spans="1:6" ht="11.25">
      <c r="A313" s="35" t="s">
        <v>55</v>
      </c>
      <c r="B313" s="32" t="s">
        <v>66</v>
      </c>
      <c r="F313" s="52">
        <v>500</v>
      </c>
    </row>
    <row r="314" spans="1:5" ht="11.25">
      <c r="A314" s="35" t="s">
        <v>56</v>
      </c>
      <c r="B314" s="32" t="s">
        <v>71</v>
      </c>
      <c r="E314" s="52">
        <v>117</v>
      </c>
    </row>
    <row r="315" spans="1:7" ht="11.25">
      <c r="A315" s="35" t="s">
        <v>57</v>
      </c>
      <c r="B315" s="32" t="s">
        <v>70</v>
      </c>
      <c r="G315" s="52">
        <v>791</v>
      </c>
    </row>
    <row r="316" spans="1:4" ht="11.25">
      <c r="A316" s="35" t="s">
        <v>58</v>
      </c>
      <c r="B316" s="32" t="s">
        <v>68</v>
      </c>
      <c r="D316" s="52">
        <v>3297</v>
      </c>
    </row>
    <row r="317" spans="1:4" ht="11.25">
      <c r="A317" s="35" t="s">
        <v>59</v>
      </c>
      <c r="B317" s="32" t="s">
        <v>68</v>
      </c>
      <c r="D317" s="52">
        <v>185</v>
      </c>
    </row>
    <row r="318" spans="1:8" ht="11.25">
      <c r="A318" s="35" t="s">
        <v>60</v>
      </c>
      <c r="B318" s="32" t="s">
        <v>69</v>
      </c>
      <c r="H318" s="52">
        <v>54</v>
      </c>
    </row>
    <row r="319" spans="1:7" ht="11.25">
      <c r="A319" s="35" t="s">
        <v>61</v>
      </c>
      <c r="B319" s="32" t="s">
        <v>70</v>
      </c>
      <c r="G319" s="52">
        <v>858</v>
      </c>
    </row>
    <row r="320" spans="1:3" ht="11.25">
      <c r="A320" s="35" t="s">
        <v>62</v>
      </c>
      <c r="B320" s="32" t="s">
        <v>67</v>
      </c>
      <c r="C320" s="52">
        <v>529</v>
      </c>
    </row>
    <row r="321" spans="1:7" ht="11.25">
      <c r="A321" s="35" t="s">
        <v>63</v>
      </c>
      <c r="B321" s="32" t="s">
        <v>70</v>
      </c>
      <c r="G321" s="52">
        <v>286</v>
      </c>
    </row>
    <row r="322" spans="1:5" ht="11.25">
      <c r="A322" s="35" t="s">
        <v>64</v>
      </c>
      <c r="B322" s="32" t="s">
        <v>71</v>
      </c>
      <c r="E322" s="52">
        <v>422</v>
      </c>
    </row>
    <row r="323" spans="1:3" ht="11.25">
      <c r="A323" s="35" t="s">
        <v>65</v>
      </c>
      <c r="B323" s="32" t="s">
        <v>67</v>
      </c>
      <c r="C323" s="53">
        <v>66</v>
      </c>
    </row>
    <row r="324" spans="1:9" ht="12">
      <c r="A324" s="92" t="s">
        <v>94</v>
      </c>
      <c r="B324" s="92"/>
      <c r="C324" s="51">
        <f aca="true" t="shared" si="10" ref="C324:H324">SUM(C273:C323)</f>
        <v>7168</v>
      </c>
      <c r="D324" s="51">
        <f t="shared" si="10"/>
        <v>5442</v>
      </c>
      <c r="E324" s="51">
        <f t="shared" si="10"/>
        <v>6494</v>
      </c>
      <c r="F324" s="51">
        <f t="shared" si="10"/>
        <v>4991</v>
      </c>
      <c r="G324" s="51">
        <f t="shared" si="10"/>
        <v>4004</v>
      </c>
      <c r="H324" s="51">
        <f t="shared" si="10"/>
        <v>6474</v>
      </c>
      <c r="I324" s="52">
        <f>SUM(C324:H324)</f>
        <v>34573</v>
      </c>
    </row>
    <row r="325" spans="1:8" ht="12">
      <c r="A325" s="92" t="s">
        <v>100</v>
      </c>
      <c r="B325" s="92"/>
      <c r="C325" s="39">
        <f aca="true" t="shared" si="11" ref="C325:H325">C324/$I324</f>
        <v>0.20732941891071066</v>
      </c>
      <c r="D325" s="39">
        <f t="shared" si="11"/>
        <v>0.15740606831920864</v>
      </c>
      <c r="E325" s="39">
        <f t="shared" si="11"/>
        <v>0.1878344372776444</v>
      </c>
      <c r="F325" s="39">
        <f t="shared" si="11"/>
        <v>0.1443612067220085</v>
      </c>
      <c r="G325" s="39">
        <f t="shared" si="11"/>
        <v>0.11581291759465479</v>
      </c>
      <c r="H325" s="39">
        <f t="shared" si="11"/>
        <v>0.187255951175773</v>
      </c>
    </row>
  </sheetData>
  <mergeCells count="12">
    <mergeCell ref="A217:B217"/>
    <mergeCell ref="A163:B163"/>
    <mergeCell ref="A324:B324"/>
    <mergeCell ref="A325:B325"/>
    <mergeCell ref="A270:B270"/>
    <mergeCell ref="A271:B271"/>
    <mergeCell ref="A54:B54"/>
    <mergeCell ref="A108:B108"/>
    <mergeCell ref="A162:B162"/>
    <mergeCell ref="A216:B216"/>
    <mergeCell ref="A109:B109"/>
    <mergeCell ref="A55:B55"/>
  </mergeCells>
  <printOptions horizontalCentered="1"/>
  <pageMargins left="1" right="1" top="1" bottom="1" header="0.5" footer="0.5"/>
  <pageSetup fitToHeight="5" horizontalDpi="600" verticalDpi="600" orientation="portrait" r:id="rId1"/>
  <headerFooter alignWithMargins="0">
    <oddHeader>&amp;C&amp;"Times New Roman,Bold"&amp;12&amp;U&amp;A&amp;R&amp;"Times New Roman,Regular"&amp;12Appendix I</oddHeader>
    <oddFooter>&amp;C&amp;"Times New Roman,Regular"&amp;12I-&amp;P</oddFooter>
  </headerFooter>
  <rowBreaks count="5" manualBreakCount="5">
    <brk id="55" max="255" man="1"/>
    <brk id="109" max="255" man="1"/>
    <brk id="163" max="255" man="1"/>
    <brk id="217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Wee</dc:creator>
  <cp:keywords/>
  <dc:description/>
  <cp:lastModifiedBy>Bernard Wee</cp:lastModifiedBy>
  <cp:lastPrinted>2000-10-26T06:39:13Z</cp:lastPrinted>
  <dcterms:created xsi:type="dcterms:W3CDTF">2000-10-13T06:59:56Z</dcterms:created>
  <dcterms:modified xsi:type="dcterms:W3CDTF">2000-10-26T06:41:38Z</dcterms:modified>
  <cp:category/>
  <cp:version/>
  <cp:contentType/>
  <cp:contentStatus/>
</cp:coreProperties>
</file>